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ebextensions/webextension1.xml" ContentType="application/vnd.ms-office.webextension+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ivils\Intelligent Transport Systems (ITS)\TII WP D (DMRB and Technical Spec Update)\2. Deliverables - Lighting Assessment Tool\"/>
    </mc:Choice>
  </mc:AlternateContent>
  <bookViews>
    <workbookView xWindow="0" yWindow="0" windowWidth="13800" windowHeight="4092" tabRatio="850" activeTab="3"/>
  </bookViews>
  <sheets>
    <sheet name="Cover Sheet" sheetId="37" r:id="rId1"/>
    <sheet name="Index" sheetId="4" r:id="rId2"/>
    <sheet name="Notes" sheetId="3" r:id="rId3"/>
    <sheet name="Overview" sheetId="2" r:id="rId4"/>
    <sheet name="Balance Scorecard" sheetId="39" r:id="rId5"/>
    <sheet name="Summary of Results" sheetId="22" r:id="rId6"/>
    <sheet name="Scheme Entry - Baseline" sheetId="5" r:id="rId7"/>
    <sheet name="Capital Expenditure" sheetId="19" r:id="rId8"/>
    <sheet name="Operational Expenditure" sheetId="7" r:id="rId9"/>
    <sheet name="Sensitivity 1" sheetId="9" r:id="rId10"/>
    <sheet name="Sensitivity 2" sheetId="40" r:id="rId11"/>
    <sheet name="Results" sheetId="10" r:id="rId12"/>
    <sheet name="Results Historical Accident" sheetId="38" r:id="rId13"/>
    <sheet name="Lighting Data" sheetId="8" r:id="rId14"/>
    <sheet name="Energy Calculations" sheetId="14" r:id="rId15"/>
    <sheet name="Energy Sensitivy 1" sheetId="32" r:id="rId16"/>
    <sheet name="Energy Sensitivy 2" sheetId="35" r:id="rId17"/>
    <sheet name="Burn Profiles" sheetId="20" r:id="rId18"/>
    <sheet name="Burn Pro Sen 1" sheetId="36" r:id="rId19"/>
    <sheet name="Burn Pro Sen 2" sheetId="33" r:id="rId20"/>
    <sheet name="NTpM Adjustment by Region" sheetId="26" r:id="rId21"/>
    <sheet name="NtpM Capitalisation" sheetId="29" r:id="rId22"/>
    <sheet name="Reference Tables" sheetId="11" r:id="rId23"/>
    <sheet name="National Accident Rate" sheetId="12" r:id="rId24"/>
    <sheet name="Average Accidents Costs" sheetId="31" r:id="rId25"/>
    <sheet name="PAG 6.11 Tables Extract" sheetId="27" r:id="rId26"/>
  </sheets>
  <externalReferences>
    <externalReference r:id="rId27"/>
  </externalReferences>
  <definedNames>
    <definedName name="Area" localSheetId="24">#REF!</definedName>
    <definedName name="Area" localSheetId="18">#REF!</definedName>
    <definedName name="Area" localSheetId="19">#REF!</definedName>
    <definedName name="Area" localSheetId="17">#REF!</definedName>
    <definedName name="Area" localSheetId="7">#REF!</definedName>
    <definedName name="Area" localSheetId="14">#REF!</definedName>
    <definedName name="Area" localSheetId="15">#REF!</definedName>
    <definedName name="Area" localSheetId="16">#REF!</definedName>
    <definedName name="Area" localSheetId="23">#REF!</definedName>
    <definedName name="Area" localSheetId="20">#REF!</definedName>
    <definedName name="Area" localSheetId="25">#REF!</definedName>
    <definedName name="Area" localSheetId="12">#REF!</definedName>
    <definedName name="Area" localSheetId="10">#REF!</definedName>
    <definedName name="Area" localSheetId="5">#REF!</definedName>
    <definedName name="Area">#REF!</definedName>
    <definedName name="_xlnm.Print_Area" localSheetId="24">'Average Accidents Costs'!$A$1:$AB$72</definedName>
    <definedName name="_xlnm.Print_Area" localSheetId="4">'Balance Scorecard'!$A$1:$J$34</definedName>
    <definedName name="_xlnm.Print_Area" localSheetId="20">'NTpM Adjustment by Region'!$A$1:$X$85</definedName>
    <definedName name="_xlnm.Print_Area" localSheetId="21">'NtpM Capitalisation'!$A$1:$M$66</definedName>
    <definedName name="_xlnm.Print_Area" localSheetId="25">'PAG 6.11 Tables Extract'!$A$1:$Z$128</definedName>
    <definedName name="_xlnm.Print_Area" localSheetId="5">'Summary of Results'!$A$1:$P$59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5" i="39" l="1"/>
  <c r="J123" i="33" l="1"/>
  <c r="J81" i="33"/>
  <c r="J90" i="33" s="1"/>
  <c r="J80" i="33"/>
  <c r="J113" i="33" s="1"/>
  <c r="J79" i="33"/>
  <c r="J88" i="33" s="1"/>
  <c r="J48" i="33"/>
  <c r="J47" i="33"/>
  <c r="J114" i="33" l="1"/>
  <c r="J105" i="33"/>
  <c r="J89" i="33"/>
  <c r="J104" i="33"/>
  <c r="J112" i="33"/>
  <c r="J103" i="33"/>
  <c r="J21" i="33"/>
  <c r="J20" i="33"/>
  <c r="J104" i="36"/>
  <c r="J90" i="36"/>
  <c r="J89" i="36"/>
  <c r="J81" i="36"/>
  <c r="J113" i="36" s="1"/>
  <c r="J80" i="36"/>
  <c r="J103" i="36" s="1"/>
  <c r="J79" i="36"/>
  <c r="J88" i="36" s="1"/>
  <c r="J48" i="36"/>
  <c r="J47" i="36"/>
  <c r="J21" i="36"/>
  <c r="J20" i="36"/>
  <c r="J122" i="36"/>
  <c r="J10" i="33"/>
  <c r="J10" i="36"/>
  <c r="J102" i="36" l="1"/>
  <c r="J112" i="36"/>
  <c r="J111" i="36"/>
  <c r="E11" i="39"/>
  <c r="A11" i="39"/>
  <c r="A7" i="39"/>
  <c r="K13" i="39"/>
  <c r="K16" i="39"/>
  <c r="J16" i="39" s="1"/>
  <c r="K19" i="39"/>
  <c r="J19" i="39" s="1"/>
  <c r="K20" i="39"/>
  <c r="J20" i="39" s="1"/>
  <c r="K23" i="39"/>
  <c r="J23" i="39" s="1"/>
  <c r="K24" i="39"/>
  <c r="J24" i="39" s="1"/>
  <c r="M10" i="35"/>
  <c r="M10" i="32"/>
  <c r="B4" i="27"/>
  <c r="B3" i="31"/>
  <c r="H62" i="31"/>
  <c r="I62" i="31"/>
  <c r="J62" i="31"/>
  <c r="S62" i="31" s="1"/>
  <c r="L62" i="31"/>
  <c r="M62" i="31"/>
  <c r="N62" i="31"/>
  <c r="R62" i="31"/>
  <c r="X62" i="31"/>
  <c r="H64" i="31"/>
  <c r="I64" i="31"/>
  <c r="J64" i="31"/>
  <c r="S64" i="31" s="1"/>
  <c r="L64" i="31"/>
  <c r="M64" i="31"/>
  <c r="N64" i="31"/>
  <c r="R64" i="31"/>
  <c r="X64" i="31"/>
  <c r="H65" i="31"/>
  <c r="I65" i="31"/>
  <c r="J65" i="31"/>
  <c r="S65" i="31" s="1"/>
  <c r="L65" i="31"/>
  <c r="M65" i="31"/>
  <c r="N65" i="31"/>
  <c r="R65" i="31"/>
  <c r="X65" i="31"/>
  <c r="H67" i="31"/>
  <c r="I67" i="31"/>
  <c r="J67" i="31"/>
  <c r="S67" i="31" s="1"/>
  <c r="L67" i="31"/>
  <c r="M67" i="31"/>
  <c r="N67" i="31"/>
  <c r="R67" i="31"/>
  <c r="X67" i="31"/>
  <c r="H68" i="31"/>
  <c r="I68" i="31"/>
  <c r="J68" i="31"/>
  <c r="S68" i="31" s="1"/>
  <c r="L68" i="31"/>
  <c r="M68" i="31"/>
  <c r="N68" i="31"/>
  <c r="R68" i="31"/>
  <c r="X68" i="31"/>
  <c r="J13" i="39" l="1"/>
  <c r="Q68" i="31"/>
  <c r="U68" i="31" s="1"/>
  <c r="Z68" i="31" s="1"/>
  <c r="Q67" i="31"/>
  <c r="U67" i="31" s="1"/>
  <c r="Z67" i="31" s="1"/>
  <c r="Q65" i="31"/>
  <c r="U65" i="31" s="1"/>
  <c r="Z65" i="31" s="1"/>
  <c r="Q64" i="31"/>
  <c r="U64" i="31" s="1"/>
  <c r="Z64" i="31" s="1"/>
  <c r="Q62" i="31"/>
  <c r="U62" i="31" s="1"/>
  <c r="Z62" i="31" s="1"/>
  <c r="M12" i="35"/>
  <c r="M13" i="35" s="1"/>
  <c r="M14" i="35" s="1"/>
  <c r="J10" i="20"/>
  <c r="M12" i="32"/>
  <c r="M13" i="32" s="1"/>
  <c r="M12" i="14"/>
  <c r="M10" i="14"/>
  <c r="B3" i="12"/>
  <c r="B3" i="11"/>
  <c r="C3" i="29"/>
  <c r="B4" i="33"/>
  <c r="B4" i="36"/>
  <c r="B4" i="26"/>
  <c r="B4" i="20"/>
  <c r="B4" i="35"/>
  <c r="B4" i="32"/>
  <c r="B4" i="14"/>
  <c r="B3" i="8"/>
  <c r="A4" i="38"/>
  <c r="A4" i="10"/>
  <c r="S10" i="33"/>
  <c r="S11" i="33" s="1"/>
  <c r="N24" i="10"/>
  <c r="N15" i="10"/>
  <c r="J101" i="20" l="1"/>
  <c r="J21" i="20"/>
  <c r="J20" i="20"/>
  <c r="J78" i="20"/>
  <c r="J27" i="20"/>
  <c r="J110" i="20"/>
  <c r="J37" i="20"/>
  <c r="J119" i="20"/>
  <c r="J122" i="20" s="1"/>
  <c r="J69" i="20"/>
  <c r="S21" i="33"/>
  <c r="J46" i="20"/>
  <c r="J87" i="20"/>
  <c r="S20" i="33"/>
  <c r="J19" i="20"/>
  <c r="J54" i="20"/>
  <c r="M14" i="32"/>
  <c r="V20" i="40"/>
  <c r="Q16" i="40"/>
  <c r="V16" i="40" s="1"/>
  <c r="H10" i="40"/>
  <c r="V9" i="40"/>
  <c r="H8" i="40"/>
  <c r="B4" i="40"/>
  <c r="V9" i="9"/>
  <c r="V20" i="9"/>
  <c r="B4" i="9"/>
  <c r="J80" i="20" l="1"/>
  <c r="J81" i="20"/>
  <c r="J79" i="20"/>
  <c r="J48" i="20"/>
  <c r="J47" i="20"/>
  <c r="H13" i="39"/>
  <c r="H14" i="39"/>
  <c r="H15" i="39"/>
  <c r="H16" i="39"/>
  <c r="H17" i="39"/>
  <c r="H18" i="39"/>
  <c r="H19" i="39"/>
  <c r="H20" i="39"/>
  <c r="H21" i="39"/>
  <c r="H22" i="39"/>
  <c r="H23" i="39"/>
  <c r="H24" i="39"/>
  <c r="J111" i="20" l="1"/>
  <c r="J102" i="20"/>
  <c r="J88" i="20"/>
  <c r="J104" i="20"/>
  <c r="J113" i="20"/>
  <c r="J90" i="20"/>
  <c r="J89" i="20"/>
  <c r="J103" i="20"/>
  <c r="J112" i="20"/>
  <c r="A4" i="39"/>
  <c r="B4" i="7" l="1"/>
  <c r="J22" i="19"/>
  <c r="B4" i="19"/>
  <c r="H14" i="19"/>
  <c r="H11" i="19"/>
  <c r="J11" i="19" s="1"/>
  <c r="H12" i="19"/>
  <c r="H13" i="19"/>
  <c r="H15" i="19"/>
  <c r="H16" i="19"/>
  <c r="H17" i="19"/>
  <c r="H18" i="19"/>
  <c r="H19" i="19"/>
  <c r="H20" i="19"/>
  <c r="H21" i="19"/>
  <c r="H10" i="19"/>
  <c r="B3" i="5" l="1"/>
  <c r="B33" i="22"/>
  <c r="B3" i="22"/>
  <c r="B33" i="37"/>
  <c r="B32" i="37"/>
  <c r="B31" i="37"/>
  <c r="B30" i="37"/>
  <c r="D35" i="7" l="1"/>
  <c r="D38" i="7" s="1"/>
  <c r="E35" i="7"/>
  <c r="E38" i="7" s="1"/>
  <c r="F36" i="7"/>
  <c r="H36" i="7" s="1"/>
  <c r="Q16" i="9"/>
  <c r="E18" i="19"/>
  <c r="J18" i="19" s="1"/>
  <c r="G36" i="7" l="1"/>
  <c r="F66" i="7"/>
  <c r="J36" i="7"/>
  <c r="D53" i="7"/>
  <c r="D63" i="7"/>
  <c r="D61" i="7"/>
  <c r="D49" i="7"/>
  <c r="D59" i="7"/>
  <c r="D45" i="7"/>
  <c r="D65" i="7"/>
  <c r="D57" i="7"/>
  <c r="D41" i="7"/>
  <c r="D64" i="7"/>
  <c r="D60" i="7"/>
  <c r="D56" i="7"/>
  <c r="D52" i="7"/>
  <c r="D48" i="7"/>
  <c r="D44" i="7"/>
  <c r="D40" i="7"/>
  <c r="D55" i="7"/>
  <c r="D51" i="7"/>
  <c r="D47" i="7"/>
  <c r="D43" i="7"/>
  <c r="D39" i="7"/>
  <c r="D62" i="7"/>
  <c r="D58" i="7"/>
  <c r="D54" i="7"/>
  <c r="D50" i="7"/>
  <c r="D46" i="7"/>
  <c r="D42" i="7"/>
  <c r="D37" i="7"/>
  <c r="E64" i="7"/>
  <c r="E62" i="7"/>
  <c r="F62" i="7" s="1"/>
  <c r="J62" i="7" s="1"/>
  <c r="E60" i="7"/>
  <c r="F60" i="7" s="1"/>
  <c r="J60" i="7" s="1"/>
  <c r="E58" i="7"/>
  <c r="E56" i="7"/>
  <c r="E54" i="7"/>
  <c r="E52" i="7"/>
  <c r="E50" i="7"/>
  <c r="E48" i="7"/>
  <c r="E46" i="7"/>
  <c r="E44" i="7"/>
  <c r="E42" i="7"/>
  <c r="E40" i="7"/>
  <c r="E65" i="7"/>
  <c r="E63" i="7"/>
  <c r="E61" i="7"/>
  <c r="E59" i="7"/>
  <c r="E57" i="7"/>
  <c r="E55" i="7"/>
  <c r="E53" i="7"/>
  <c r="E51" i="7"/>
  <c r="E49" i="7"/>
  <c r="E47" i="7"/>
  <c r="E45" i="7"/>
  <c r="E43" i="7"/>
  <c r="E41" i="7"/>
  <c r="E39" i="7"/>
  <c r="I36" i="7"/>
  <c r="E37" i="7"/>
  <c r="F38" i="7"/>
  <c r="H38" i="7" s="1"/>
  <c r="C57" i="22"/>
  <c r="C56" i="22"/>
  <c r="C55" i="22"/>
  <c r="C54" i="22"/>
  <c r="C53" i="22"/>
  <c r="C49" i="22"/>
  <c r="C48" i="22"/>
  <c r="C47" i="22"/>
  <c r="C46" i="22"/>
  <c r="C45" i="22"/>
  <c r="C41" i="22"/>
  <c r="C40" i="22"/>
  <c r="C39" i="22"/>
  <c r="C38" i="22"/>
  <c r="C37" i="22"/>
  <c r="F45" i="7" l="1"/>
  <c r="J45" i="7" s="1"/>
  <c r="F51" i="7"/>
  <c r="I51" i="7" s="1"/>
  <c r="F48" i="7"/>
  <c r="I48" i="7" s="1"/>
  <c r="F63" i="7"/>
  <c r="J63" i="7" s="1"/>
  <c r="F53" i="7"/>
  <c r="J53" i="7" s="1"/>
  <c r="F52" i="7"/>
  <c r="I52" i="7" s="1"/>
  <c r="F61" i="7"/>
  <c r="J61" i="7" s="1"/>
  <c r="I38" i="7"/>
  <c r="F43" i="7"/>
  <c r="H43" i="7" s="1"/>
  <c r="F40" i="7"/>
  <c r="I40" i="7" s="1"/>
  <c r="F56" i="7"/>
  <c r="J56" i="7" s="1"/>
  <c r="F37" i="7"/>
  <c r="I37" i="7" s="1"/>
  <c r="F49" i="7"/>
  <c r="I49" i="7" s="1"/>
  <c r="F57" i="7"/>
  <c r="J57" i="7" s="1"/>
  <c r="F65" i="7"/>
  <c r="J65" i="7" s="1"/>
  <c r="F54" i="7"/>
  <c r="I54" i="7" s="1"/>
  <c r="F41" i="7"/>
  <c r="J41" i="7" s="1"/>
  <c r="F59" i="7"/>
  <c r="J59" i="7" s="1"/>
  <c r="F44" i="7"/>
  <c r="H44" i="7" s="1"/>
  <c r="F46" i="7"/>
  <c r="I46" i="7" s="1"/>
  <c r="F39" i="7"/>
  <c r="H39" i="7" s="1"/>
  <c r="F47" i="7"/>
  <c r="I47" i="7" s="1"/>
  <c r="F55" i="7"/>
  <c r="J55" i="7" s="1"/>
  <c r="F42" i="7"/>
  <c r="J42" i="7" s="1"/>
  <c r="F50" i="7"/>
  <c r="I50" i="7" s="1"/>
  <c r="F58" i="7"/>
  <c r="J58" i="7" s="1"/>
  <c r="F64" i="7"/>
  <c r="J64" i="7" s="1"/>
  <c r="G38" i="7"/>
  <c r="J38" i="7"/>
  <c r="E34" i="11"/>
  <c r="E40" i="11" l="1"/>
  <c r="E44" i="11"/>
  <c r="E48" i="11"/>
  <c r="E52" i="11"/>
  <c r="E56" i="11"/>
  <c r="E60" i="11"/>
  <c r="E64" i="11"/>
  <c r="E68" i="11"/>
  <c r="E72" i="11"/>
  <c r="E41" i="11"/>
  <c r="E45" i="11"/>
  <c r="E49" i="11"/>
  <c r="E53" i="11"/>
  <c r="E57" i="11"/>
  <c r="E61" i="11"/>
  <c r="E65" i="11"/>
  <c r="E69" i="11"/>
  <c r="E73" i="11"/>
  <c r="E42" i="11"/>
  <c r="E46" i="11"/>
  <c r="E50" i="11"/>
  <c r="E54" i="11"/>
  <c r="E58" i="11"/>
  <c r="E62" i="11"/>
  <c r="E66" i="11"/>
  <c r="E70" i="11"/>
  <c r="E74" i="11"/>
  <c r="E39" i="11"/>
  <c r="E43" i="11"/>
  <c r="E47" i="11"/>
  <c r="L21" i="5" s="1"/>
  <c r="E51" i="11"/>
  <c r="E55" i="11"/>
  <c r="E59" i="11"/>
  <c r="E63" i="11"/>
  <c r="E67" i="11"/>
  <c r="E71" i="11"/>
  <c r="E75" i="11"/>
  <c r="H45" i="7"/>
  <c r="I45" i="7"/>
  <c r="J51" i="7"/>
  <c r="H37" i="7"/>
  <c r="G37" i="7"/>
  <c r="J54" i="7"/>
  <c r="J48" i="7"/>
  <c r="J52" i="7"/>
  <c r="I53" i="7"/>
  <c r="J37" i="7"/>
  <c r="J49" i="7"/>
  <c r="J43" i="7"/>
  <c r="J46" i="7"/>
  <c r="I41" i="7"/>
  <c r="I39" i="7"/>
  <c r="I43" i="7"/>
  <c r="G40" i="7"/>
  <c r="J39" i="7"/>
  <c r="H41" i="7"/>
  <c r="G39" i="7"/>
  <c r="I42" i="7"/>
  <c r="H40" i="7"/>
  <c r="J50" i="7"/>
  <c r="J40" i="7"/>
  <c r="I44" i="7"/>
  <c r="H42" i="7"/>
  <c r="J47" i="7"/>
  <c r="J44" i="7"/>
  <c r="I55" i="7"/>
  <c r="L19" i="5"/>
  <c r="E38" i="11"/>
  <c r="X43" i="31"/>
  <c r="X44" i="31"/>
  <c r="X45" i="31"/>
  <c r="X42" i="31"/>
  <c r="T10" i="31"/>
  <c r="J66" i="7" l="1"/>
  <c r="H66" i="7"/>
  <c r="G66" i="7"/>
  <c r="I66" i="7"/>
  <c r="K10" i="31"/>
  <c r="I10" i="31" l="1"/>
  <c r="I11" i="31" s="1"/>
  <c r="E10" i="31"/>
  <c r="R10" i="31" s="1"/>
  <c r="E11" i="31"/>
  <c r="K11" i="31"/>
  <c r="X10" i="31"/>
  <c r="V10" i="31"/>
  <c r="G11" i="31"/>
  <c r="M10" i="31"/>
  <c r="Y41" i="5"/>
  <c r="M21" i="38" s="1"/>
  <c r="Y40" i="5"/>
  <c r="M29" i="38" s="1"/>
  <c r="Y39" i="5"/>
  <c r="M28" i="38" s="1"/>
  <c r="Y37" i="5"/>
  <c r="M17" i="38" s="1"/>
  <c r="G26" i="38"/>
  <c r="K30" i="38"/>
  <c r="F30" i="38"/>
  <c r="K29" i="38"/>
  <c r="K28" i="38"/>
  <c r="F28" i="38"/>
  <c r="K27" i="38"/>
  <c r="F27" i="38"/>
  <c r="K26" i="38"/>
  <c r="F26" i="38"/>
  <c r="K21" i="38"/>
  <c r="K20" i="38"/>
  <c r="K19" i="38"/>
  <c r="K18" i="38"/>
  <c r="K17" i="38"/>
  <c r="O12" i="38"/>
  <c r="O21" i="38" s="1"/>
  <c r="K12" i="38"/>
  <c r="I12" i="38"/>
  <c r="H30" i="38"/>
  <c r="G30" i="38"/>
  <c r="F21" i="38"/>
  <c r="D12" i="38"/>
  <c r="D30" i="38" s="1"/>
  <c r="C12" i="38"/>
  <c r="C21" i="38" s="1"/>
  <c r="O11" i="38"/>
  <c r="O20" i="38" s="1"/>
  <c r="K11" i="38"/>
  <c r="I11" i="38"/>
  <c r="I29" i="38" s="1"/>
  <c r="H29" i="38"/>
  <c r="G20" i="38"/>
  <c r="E29" i="38"/>
  <c r="D11" i="38"/>
  <c r="D29" i="38" s="1"/>
  <c r="C11" i="38"/>
  <c r="C29" i="38" s="1"/>
  <c r="O10" i="38"/>
  <c r="K10" i="38"/>
  <c r="I10" i="38"/>
  <c r="I28" i="38" s="1"/>
  <c r="H19" i="38"/>
  <c r="F19" i="38"/>
  <c r="E28" i="38"/>
  <c r="D10" i="38"/>
  <c r="D19" i="38" s="1"/>
  <c r="C10" i="38"/>
  <c r="C28" i="38" s="1"/>
  <c r="O9" i="38"/>
  <c r="O18" i="38" s="1"/>
  <c r="K9" i="38"/>
  <c r="I9" i="38"/>
  <c r="I27" i="38" s="1"/>
  <c r="G27" i="38"/>
  <c r="F18" i="38"/>
  <c r="E27" i="38"/>
  <c r="D9" i="38"/>
  <c r="C9" i="38"/>
  <c r="C27" i="38" s="1"/>
  <c r="O8" i="38"/>
  <c r="O17" i="38" s="1"/>
  <c r="K8" i="38"/>
  <c r="I8" i="38"/>
  <c r="H26" i="38"/>
  <c r="F17" i="38"/>
  <c r="D8" i="38"/>
  <c r="D26" i="38" s="1"/>
  <c r="C8" i="38"/>
  <c r="C17" i="38" s="1"/>
  <c r="M26" i="38" l="1"/>
  <c r="M30" i="38"/>
  <c r="M10" i="38"/>
  <c r="M11" i="38"/>
  <c r="M19" i="38"/>
  <c r="Z10" i="31"/>
  <c r="M11" i="31"/>
  <c r="T11" i="31"/>
  <c r="G12" i="31"/>
  <c r="X11" i="31"/>
  <c r="K12" i="31"/>
  <c r="M12" i="38"/>
  <c r="M20" i="38"/>
  <c r="V11" i="31"/>
  <c r="I12" i="31"/>
  <c r="M8" i="38"/>
  <c r="R11" i="31"/>
  <c r="E12" i="31"/>
  <c r="D21" i="38"/>
  <c r="C26" i="38"/>
  <c r="D20" i="38"/>
  <c r="C30" i="38"/>
  <c r="O26" i="38"/>
  <c r="C18" i="38"/>
  <c r="G21" i="38"/>
  <c r="O30" i="38"/>
  <c r="H17" i="38"/>
  <c r="G18" i="38"/>
  <c r="H20" i="38"/>
  <c r="H21" i="38"/>
  <c r="O29" i="38"/>
  <c r="D17" i="38"/>
  <c r="C20" i="38"/>
  <c r="O27" i="38"/>
  <c r="G17" i="38"/>
  <c r="D27" i="38"/>
  <c r="D18" i="38"/>
  <c r="H18" i="38"/>
  <c r="H27" i="38"/>
  <c r="E30" i="38"/>
  <c r="E21" i="38"/>
  <c r="G28" i="38"/>
  <c r="G19" i="38"/>
  <c r="O19" i="38"/>
  <c r="O28" i="38"/>
  <c r="I30" i="38"/>
  <c r="I21" i="38"/>
  <c r="E26" i="38"/>
  <c r="E17" i="38"/>
  <c r="I26" i="38"/>
  <c r="I17" i="38"/>
  <c r="F20" i="38"/>
  <c r="F29" i="38"/>
  <c r="C19" i="38"/>
  <c r="G29" i="38"/>
  <c r="E18" i="38"/>
  <c r="I18" i="38"/>
  <c r="E19" i="38"/>
  <c r="I19" i="38"/>
  <c r="E20" i="38"/>
  <c r="I20" i="38"/>
  <c r="D28" i="38"/>
  <c r="H28" i="38"/>
  <c r="T12" i="31" l="1"/>
  <c r="G13" i="31"/>
  <c r="E13" i="31"/>
  <c r="R12" i="31"/>
  <c r="V12" i="31"/>
  <c r="I13" i="31"/>
  <c r="K13" i="31"/>
  <c r="X12" i="31"/>
  <c r="M12" i="31"/>
  <c r="Z11" i="31"/>
  <c r="S123" i="33"/>
  <c r="S10" i="36"/>
  <c r="S119" i="36" s="1"/>
  <c r="K27" i="10"/>
  <c r="K28" i="10"/>
  <c r="K29" i="10"/>
  <c r="K30" i="10"/>
  <c r="K26" i="10"/>
  <c r="K18" i="10"/>
  <c r="K19" i="10"/>
  <c r="K20" i="10"/>
  <c r="K21" i="10"/>
  <c r="K17" i="10"/>
  <c r="K14" i="31" l="1"/>
  <c r="X13" i="31"/>
  <c r="E14" i="31"/>
  <c r="R13" i="31"/>
  <c r="I14" i="31"/>
  <c r="V13" i="31"/>
  <c r="G14" i="31"/>
  <c r="T13" i="31"/>
  <c r="Z12" i="31"/>
  <c r="M13" i="31"/>
  <c r="S12" i="36"/>
  <c r="S27" i="36"/>
  <c r="S48" i="36"/>
  <c r="S69" i="36"/>
  <c r="S79" i="36"/>
  <c r="S88" i="36"/>
  <c r="S102" i="36"/>
  <c r="S111" i="36"/>
  <c r="S120" i="36"/>
  <c r="S19" i="36"/>
  <c r="S29" i="36"/>
  <c r="S39" i="36"/>
  <c r="S54" i="36"/>
  <c r="S70" i="36"/>
  <c r="S80" i="36"/>
  <c r="S89" i="36"/>
  <c r="S103" i="36"/>
  <c r="S112" i="36"/>
  <c r="S121" i="36"/>
  <c r="S38" i="36"/>
  <c r="S28" i="36"/>
  <c r="S55" i="36"/>
  <c r="S71" i="36"/>
  <c r="S81" i="36"/>
  <c r="S90" i="36"/>
  <c r="S104" i="36"/>
  <c r="S113" i="36"/>
  <c r="S122" i="36"/>
  <c r="S20" i="36"/>
  <c r="S46" i="36"/>
  <c r="S11" i="36"/>
  <c r="S21" i="36"/>
  <c r="S37" i="36"/>
  <c r="S47" i="36"/>
  <c r="S56" i="36"/>
  <c r="S78" i="36"/>
  <c r="S87" i="36"/>
  <c r="S101" i="36"/>
  <c r="S110" i="36"/>
  <c r="S19" i="33"/>
  <c r="S28" i="33"/>
  <c r="S80" i="33"/>
  <c r="S39" i="33"/>
  <c r="S89" i="33"/>
  <c r="S54" i="33"/>
  <c r="S104" i="33"/>
  <c r="S70" i="33"/>
  <c r="S113" i="33"/>
  <c r="S29" i="33"/>
  <c r="S46" i="33"/>
  <c r="S55" i="33"/>
  <c r="S71" i="33"/>
  <c r="S81" i="33"/>
  <c r="S90" i="33"/>
  <c r="S105" i="33"/>
  <c r="S114" i="33"/>
  <c r="S37" i="33"/>
  <c r="S47" i="33"/>
  <c r="S56" i="33"/>
  <c r="S78" i="33"/>
  <c r="S87" i="33"/>
  <c r="S102" i="33"/>
  <c r="S111" i="33"/>
  <c r="S120" i="33"/>
  <c r="S12" i="33"/>
  <c r="S27" i="33"/>
  <c r="S38" i="33"/>
  <c r="S48" i="33"/>
  <c r="S69" i="33"/>
  <c r="S79" i="33"/>
  <c r="S88" i="33"/>
  <c r="S103" i="33"/>
  <c r="S112" i="33"/>
  <c r="J114" i="36"/>
  <c r="J105" i="36"/>
  <c r="J91" i="36"/>
  <c r="J82" i="36"/>
  <c r="J71" i="36"/>
  <c r="J70" i="36"/>
  <c r="J56" i="36"/>
  <c r="J55" i="36"/>
  <c r="J49" i="36"/>
  <c r="J39" i="36"/>
  <c r="J38" i="36"/>
  <c r="J29" i="36"/>
  <c r="J28" i="36"/>
  <c r="J22" i="36"/>
  <c r="J13" i="36"/>
  <c r="D8" i="29"/>
  <c r="D37" i="29" s="1"/>
  <c r="C8" i="29"/>
  <c r="C37" i="29" s="1"/>
  <c r="CY52" i="29"/>
  <c r="CX52" i="29"/>
  <c r="CW52" i="29"/>
  <c r="CV52" i="29"/>
  <c r="CU52" i="29"/>
  <c r="CT52" i="29"/>
  <c r="CS52" i="29"/>
  <c r="CR52" i="29"/>
  <c r="CQ52" i="29"/>
  <c r="CP52" i="29"/>
  <c r="CO52" i="29"/>
  <c r="CN52" i="29"/>
  <c r="CM52" i="29"/>
  <c r="BX52" i="29"/>
  <c r="BW52" i="29"/>
  <c r="BV52" i="29"/>
  <c r="BU52" i="29"/>
  <c r="BT52" i="29"/>
  <c r="BS52" i="29"/>
  <c r="BR52" i="29"/>
  <c r="BQ52" i="29"/>
  <c r="BP52" i="29"/>
  <c r="BO52" i="29"/>
  <c r="BN52" i="29"/>
  <c r="BM52" i="29"/>
  <c r="BL52" i="29"/>
  <c r="BD52" i="29"/>
  <c r="BC52" i="29"/>
  <c r="BB52" i="29"/>
  <c r="BA52" i="29"/>
  <c r="AZ52" i="29"/>
  <c r="AY52" i="29"/>
  <c r="AX52" i="29"/>
  <c r="AW52" i="29"/>
  <c r="AV52" i="29"/>
  <c r="AU52" i="29"/>
  <c r="AT52" i="29"/>
  <c r="AS52" i="29"/>
  <c r="AR52" i="29"/>
  <c r="AD52" i="29"/>
  <c r="AC52" i="29"/>
  <c r="AB52" i="29"/>
  <c r="AA52" i="29"/>
  <c r="Z52" i="29"/>
  <c r="Y52" i="29"/>
  <c r="X52" i="29"/>
  <c r="W52" i="29"/>
  <c r="V52" i="29"/>
  <c r="U52" i="29"/>
  <c r="T52" i="29"/>
  <c r="S52" i="29"/>
  <c r="R52" i="29"/>
  <c r="J71" i="33"/>
  <c r="J70" i="33"/>
  <c r="J56" i="33"/>
  <c r="J55" i="33"/>
  <c r="J39" i="33"/>
  <c r="J38" i="33"/>
  <c r="J29" i="33"/>
  <c r="J28" i="33"/>
  <c r="G15" i="31" l="1"/>
  <c r="T14" i="31"/>
  <c r="E15" i="31"/>
  <c r="R14" i="31"/>
  <c r="M14" i="31"/>
  <c r="Z13" i="31"/>
  <c r="I15" i="31"/>
  <c r="V14" i="31"/>
  <c r="K15" i="31"/>
  <c r="X14" i="31"/>
  <c r="J40" i="36"/>
  <c r="J72" i="36"/>
  <c r="J30" i="36"/>
  <c r="J57" i="36"/>
  <c r="E16" i="31" l="1"/>
  <c r="R15" i="31"/>
  <c r="V15" i="31"/>
  <c r="I16" i="31"/>
  <c r="X15" i="31"/>
  <c r="K16" i="31"/>
  <c r="M15" i="31"/>
  <c r="Z14" i="31"/>
  <c r="T15" i="31"/>
  <c r="G16" i="31"/>
  <c r="J71" i="20"/>
  <c r="J70" i="20"/>
  <c r="J56" i="20"/>
  <c r="J55" i="20"/>
  <c r="J39" i="20"/>
  <c r="J38" i="20"/>
  <c r="J29" i="20"/>
  <c r="J28" i="20"/>
  <c r="M16" i="31" l="1"/>
  <c r="Z15" i="31"/>
  <c r="G17" i="31"/>
  <c r="T16" i="31"/>
  <c r="K17" i="31"/>
  <c r="X16" i="31"/>
  <c r="V16" i="31"/>
  <c r="I17" i="31"/>
  <c r="R16" i="31"/>
  <c r="E17" i="31"/>
  <c r="O17" i="5"/>
  <c r="T17" i="31" l="1"/>
  <c r="G18" i="31"/>
  <c r="E18" i="31"/>
  <c r="R17" i="31"/>
  <c r="V17" i="31"/>
  <c r="I18" i="31"/>
  <c r="X17" i="31"/>
  <c r="K18" i="31"/>
  <c r="M17" i="31"/>
  <c r="Z16" i="31"/>
  <c r="J115" i="33"/>
  <c r="J106" i="33"/>
  <c r="J82" i="33"/>
  <c r="J57" i="33"/>
  <c r="J49" i="33"/>
  <c r="J40" i="33"/>
  <c r="J22" i="33"/>
  <c r="J13" i="33"/>
  <c r="E10" i="7"/>
  <c r="D9" i="10"/>
  <c r="D10" i="10"/>
  <c r="D11" i="10"/>
  <c r="D12" i="10"/>
  <c r="D8" i="10"/>
  <c r="C9" i="10"/>
  <c r="C10" i="10"/>
  <c r="C11" i="10"/>
  <c r="C12" i="10"/>
  <c r="C8" i="10"/>
  <c r="CK52" i="29"/>
  <c r="CJ52" i="29"/>
  <c r="CI52" i="29"/>
  <c r="CH52" i="29"/>
  <c r="CG52" i="29"/>
  <c r="CF52" i="29"/>
  <c r="CE52" i="29"/>
  <c r="CD52" i="29"/>
  <c r="CC52" i="29"/>
  <c r="CB52" i="29"/>
  <c r="CA52" i="29"/>
  <c r="BZ52" i="29"/>
  <c r="BY52" i="29"/>
  <c r="BK6" i="29"/>
  <c r="BK16" i="29" s="1"/>
  <c r="BJ6" i="29"/>
  <c r="BJ24" i="29" s="1"/>
  <c r="K19" i="31" l="1"/>
  <c r="X18" i="31"/>
  <c r="C19" i="10"/>
  <c r="E39" i="22"/>
  <c r="D20" i="10"/>
  <c r="F40" i="22"/>
  <c r="E19" i="31"/>
  <c r="R18" i="31"/>
  <c r="D21" i="10"/>
  <c r="F41" i="22"/>
  <c r="D28" i="10"/>
  <c r="F25" i="22" s="1"/>
  <c r="F39" i="22"/>
  <c r="V18" i="31"/>
  <c r="I19" i="31"/>
  <c r="G19" i="31"/>
  <c r="T18" i="31"/>
  <c r="C26" i="10"/>
  <c r="E23" i="22" s="1"/>
  <c r="E37" i="22"/>
  <c r="C27" i="10"/>
  <c r="E24" i="22" s="1"/>
  <c r="E38" i="22"/>
  <c r="C30" i="10"/>
  <c r="E27" i="22" s="1"/>
  <c r="E41" i="22"/>
  <c r="D26" i="10"/>
  <c r="F23" i="22" s="1"/>
  <c r="F37" i="22"/>
  <c r="D27" i="10"/>
  <c r="F24" i="22" s="1"/>
  <c r="F38" i="22"/>
  <c r="M18" i="31"/>
  <c r="Z17" i="31"/>
  <c r="C20" i="10"/>
  <c r="E40" i="22"/>
  <c r="D18" i="10"/>
  <c r="C21" i="10"/>
  <c r="C18" i="10"/>
  <c r="D17" i="10"/>
  <c r="C17" i="10"/>
  <c r="D19" i="10"/>
  <c r="D30" i="10"/>
  <c r="F27" i="22" s="1"/>
  <c r="C28" i="10"/>
  <c r="E25" i="22" s="1"/>
  <c r="D29" i="10"/>
  <c r="F26" i="22" s="1"/>
  <c r="C29" i="10"/>
  <c r="E26" i="22" s="1"/>
  <c r="BK13" i="29"/>
  <c r="BJ18" i="29"/>
  <c r="BJ26" i="29"/>
  <c r="BK9" i="29"/>
  <c r="BJ14" i="29"/>
  <c r="BJ19" i="29"/>
  <c r="BJ34" i="29"/>
  <c r="BJ10" i="29"/>
  <c r="BJ15" i="29"/>
  <c r="BJ22" i="29"/>
  <c r="BJ45" i="29"/>
  <c r="BJ11" i="29"/>
  <c r="J30" i="33"/>
  <c r="J72" i="33"/>
  <c r="J91" i="33"/>
  <c r="BK50" i="29"/>
  <c r="BK49" i="29"/>
  <c r="BK42" i="29"/>
  <c r="BK41" i="29"/>
  <c r="BK36" i="29"/>
  <c r="BK32" i="29"/>
  <c r="BK28" i="29"/>
  <c r="BK48" i="29"/>
  <c r="BK43" i="29"/>
  <c r="BK40" i="29"/>
  <c r="BK37" i="29"/>
  <c r="BK33" i="29"/>
  <c r="BK29" i="29"/>
  <c r="BK25" i="29"/>
  <c r="BK46" i="29"/>
  <c r="BK45" i="29"/>
  <c r="BK38" i="29"/>
  <c r="BK34" i="29"/>
  <c r="BK30" i="29"/>
  <c r="BK26" i="29"/>
  <c r="BK39" i="29"/>
  <c r="BK22" i="29"/>
  <c r="BK15" i="29"/>
  <c r="BK14" i="29"/>
  <c r="BK44" i="29"/>
  <c r="BK27" i="29"/>
  <c r="BK23" i="29"/>
  <c r="BK20" i="29"/>
  <c r="BK31" i="29"/>
  <c r="BK24" i="29"/>
  <c r="BK19" i="29"/>
  <c r="BK18" i="29"/>
  <c r="BK11" i="29"/>
  <c r="BK10" i="29"/>
  <c r="BK47" i="29"/>
  <c r="BK35" i="29"/>
  <c r="BK12" i="29"/>
  <c r="BK17" i="29"/>
  <c r="BK8" i="29"/>
  <c r="BK21" i="29"/>
  <c r="BJ47" i="29"/>
  <c r="BJ44" i="29"/>
  <c r="BJ39" i="29"/>
  <c r="BJ35" i="29"/>
  <c r="BJ31" i="29"/>
  <c r="BJ27" i="29"/>
  <c r="BJ50" i="29"/>
  <c r="BJ49" i="29"/>
  <c r="BJ42" i="29"/>
  <c r="BJ41" i="29"/>
  <c r="BJ36" i="29"/>
  <c r="BJ32" i="29"/>
  <c r="BJ28" i="29"/>
  <c r="BJ48" i="29"/>
  <c r="BJ43" i="29"/>
  <c r="BJ40" i="29"/>
  <c r="BJ37" i="29"/>
  <c r="BJ33" i="29"/>
  <c r="BJ29" i="29"/>
  <c r="BJ25" i="29"/>
  <c r="BJ9" i="29"/>
  <c r="BJ12" i="29"/>
  <c r="BJ17" i="29"/>
  <c r="BJ20" i="29"/>
  <c r="BJ23" i="29"/>
  <c r="BJ30" i="29"/>
  <c r="BJ46" i="29"/>
  <c r="BJ8" i="29"/>
  <c r="BJ13" i="29"/>
  <c r="BJ16" i="29"/>
  <c r="BJ21" i="29"/>
  <c r="BJ38" i="29"/>
  <c r="F45" i="22" l="1"/>
  <c r="F53" i="22"/>
  <c r="F55" i="22"/>
  <c r="F47" i="22"/>
  <c r="M19" i="31"/>
  <c r="Z18" i="31"/>
  <c r="T19" i="31"/>
  <c r="G20" i="31"/>
  <c r="E20" i="31"/>
  <c r="R19" i="31"/>
  <c r="E46" i="22"/>
  <c r="E54" i="22"/>
  <c r="F46" i="22"/>
  <c r="F54" i="22"/>
  <c r="E49" i="22"/>
  <c r="E57" i="22"/>
  <c r="E45" i="22"/>
  <c r="E53" i="22"/>
  <c r="V19" i="31"/>
  <c r="I20" i="31"/>
  <c r="F49" i="22"/>
  <c r="F57" i="22"/>
  <c r="F56" i="22"/>
  <c r="F48" i="22"/>
  <c r="E55" i="22"/>
  <c r="E47" i="22"/>
  <c r="X19" i="31"/>
  <c r="K20" i="31"/>
  <c r="E48" i="22"/>
  <c r="E56" i="22"/>
  <c r="W9" i="5"/>
  <c r="W11" i="5"/>
  <c r="E11" i="7"/>
  <c r="X20" i="31" l="1"/>
  <c r="K21" i="31"/>
  <c r="I21" i="31"/>
  <c r="V20" i="31"/>
  <c r="T20" i="31"/>
  <c r="G21" i="31"/>
  <c r="R20" i="31"/>
  <c r="E21" i="31"/>
  <c r="M20" i="31"/>
  <c r="Z19" i="31"/>
  <c r="AF52" i="29"/>
  <c r="AG52" i="29"/>
  <c r="AH52" i="29"/>
  <c r="AI52" i="29"/>
  <c r="AJ52" i="29"/>
  <c r="AK52" i="29"/>
  <c r="AL52" i="29"/>
  <c r="AM52" i="29"/>
  <c r="AN52" i="29"/>
  <c r="AO52" i="29"/>
  <c r="AP52" i="29"/>
  <c r="AQ52" i="29"/>
  <c r="AE52" i="29"/>
  <c r="D50" i="26"/>
  <c r="F16" i="22"/>
  <c r="F17" i="22"/>
  <c r="F18" i="22"/>
  <c r="F19" i="22"/>
  <c r="F15" i="22"/>
  <c r="E16" i="22"/>
  <c r="E17" i="22"/>
  <c r="E18" i="22"/>
  <c r="E19" i="22"/>
  <c r="E15" i="22"/>
  <c r="K11" i="12"/>
  <c r="K9" i="12" s="1"/>
  <c r="K7" i="12"/>
  <c r="K6" i="12"/>
  <c r="V21" i="31" l="1"/>
  <c r="I22" i="31"/>
  <c r="V22" i="31" s="1"/>
  <c r="G22" i="31"/>
  <c r="T22" i="31" s="1"/>
  <c r="T21" i="31"/>
  <c r="K22" i="31"/>
  <c r="X22" i="31" s="1"/>
  <c r="X21" i="31"/>
  <c r="E22" i="31"/>
  <c r="R22" i="31" s="1"/>
  <c r="R21" i="31"/>
  <c r="M21" i="31"/>
  <c r="Z20" i="31"/>
  <c r="I36" i="5" s="1"/>
  <c r="L17" i="5"/>
  <c r="K10" i="12"/>
  <c r="K8" i="12"/>
  <c r="Z21" i="31" l="1"/>
  <c r="M22" i="31"/>
  <c r="Z22" i="31" s="1"/>
  <c r="J12" i="38"/>
  <c r="J11" i="38"/>
  <c r="J10" i="38"/>
  <c r="J9" i="38"/>
  <c r="J8" i="38"/>
  <c r="L12" i="38"/>
  <c r="L11" i="38"/>
  <c r="L10" i="38"/>
  <c r="L9" i="38"/>
  <c r="L8" i="38"/>
  <c r="K13" i="12"/>
  <c r="I40" i="5" s="1"/>
  <c r="F8" i="22"/>
  <c r="F9" i="22"/>
  <c r="F10" i="22"/>
  <c r="F11" i="22"/>
  <c r="E8" i="22"/>
  <c r="E9" i="22"/>
  <c r="E10" i="22"/>
  <c r="E11" i="22"/>
  <c r="E7" i="22"/>
  <c r="F7" i="22"/>
  <c r="H10" i="9"/>
  <c r="H8" i="9"/>
  <c r="J19" i="38" l="1"/>
  <c r="J28" i="38"/>
  <c r="J18" i="38"/>
  <c r="J27" i="38"/>
  <c r="J20" i="38"/>
  <c r="J29" i="38"/>
  <c r="J17" i="38"/>
  <c r="J26" i="38"/>
  <c r="J21" i="38"/>
  <c r="J30" i="38"/>
  <c r="O15" i="5"/>
  <c r="C15" i="11" l="1"/>
  <c r="C16" i="11" s="1"/>
  <c r="C17" i="11" s="1"/>
  <c r="C18" i="11" s="1"/>
  <c r="C19" i="11" s="1"/>
  <c r="C20" i="11" s="1"/>
  <c r="C21" i="11" s="1"/>
  <c r="C22" i="11" s="1"/>
  <c r="C23" i="11" s="1"/>
  <c r="C24" i="11" s="1"/>
  <c r="C25" i="11" s="1"/>
  <c r="C26" i="11" s="1"/>
  <c r="C27" i="11" s="1"/>
  <c r="C28" i="11" s="1"/>
  <c r="S122" i="20"/>
  <c r="S121" i="20"/>
  <c r="S120" i="20"/>
  <c r="S119" i="20"/>
  <c r="S113" i="20"/>
  <c r="S112" i="20"/>
  <c r="S111" i="20"/>
  <c r="S110" i="20"/>
  <c r="S104" i="20"/>
  <c r="S103" i="20"/>
  <c r="S102" i="20"/>
  <c r="S101" i="20"/>
  <c r="S90" i="20"/>
  <c r="S89" i="20"/>
  <c r="S88" i="20"/>
  <c r="S87" i="20"/>
  <c r="S81" i="20"/>
  <c r="S80" i="20"/>
  <c r="S79" i="20"/>
  <c r="S78" i="20"/>
  <c r="S71" i="20"/>
  <c r="S70" i="20"/>
  <c r="S69" i="20"/>
  <c r="S56" i="20"/>
  <c r="S55" i="20"/>
  <c r="S54" i="20"/>
  <c r="S48" i="20"/>
  <c r="S47" i="20"/>
  <c r="S46" i="20"/>
  <c r="S39" i="20"/>
  <c r="S38" i="20"/>
  <c r="S37" i="20"/>
  <c r="S29" i="20"/>
  <c r="S28" i="20"/>
  <c r="S27" i="20"/>
  <c r="S21" i="20"/>
  <c r="S20" i="20"/>
  <c r="S19" i="20"/>
  <c r="S12" i="20"/>
  <c r="S11" i="20"/>
  <c r="S10" i="20"/>
  <c r="I79" i="26" l="1"/>
  <c r="I78" i="26"/>
  <c r="I77" i="26"/>
  <c r="I75" i="26"/>
  <c r="I74" i="26"/>
  <c r="I73" i="26"/>
  <c r="I71" i="26"/>
  <c r="I70" i="26"/>
  <c r="I69" i="26"/>
  <c r="I67" i="26"/>
  <c r="I66" i="26"/>
  <c r="I65" i="26"/>
  <c r="I63" i="26"/>
  <c r="I62" i="26"/>
  <c r="I61" i="26"/>
  <c r="I59" i="26"/>
  <c r="I58" i="26"/>
  <c r="I57" i="26"/>
  <c r="I55" i="26"/>
  <c r="I54" i="26"/>
  <c r="I49" i="26"/>
  <c r="I50" i="26"/>
  <c r="I51" i="26"/>
  <c r="I53" i="26"/>
  <c r="H79" i="26"/>
  <c r="H78" i="26"/>
  <c r="H77" i="26"/>
  <c r="H75" i="26"/>
  <c r="H74" i="26"/>
  <c r="H73" i="26"/>
  <c r="H71" i="26"/>
  <c r="H70" i="26"/>
  <c r="H69" i="26"/>
  <c r="H67" i="26"/>
  <c r="H66" i="26"/>
  <c r="H65" i="26"/>
  <c r="H63" i="26"/>
  <c r="H62" i="26"/>
  <c r="H61" i="26"/>
  <c r="H59" i="26"/>
  <c r="H58" i="26"/>
  <c r="H57" i="26"/>
  <c r="H55" i="26"/>
  <c r="H54" i="26"/>
  <c r="H53" i="26"/>
  <c r="F53" i="26"/>
  <c r="H51" i="26"/>
  <c r="H50" i="26"/>
  <c r="H49" i="26"/>
  <c r="E71" i="26"/>
  <c r="E70" i="26"/>
  <c r="E69" i="26"/>
  <c r="E79" i="26"/>
  <c r="E78" i="26"/>
  <c r="E77" i="26"/>
  <c r="E75" i="26"/>
  <c r="E74" i="26"/>
  <c r="E73" i="26"/>
  <c r="D78" i="26"/>
  <c r="D79" i="26"/>
  <c r="D77" i="26"/>
  <c r="D75" i="26"/>
  <c r="D74" i="26"/>
  <c r="D73" i="26"/>
  <c r="D71" i="26"/>
  <c r="D70" i="26"/>
  <c r="D69" i="26"/>
  <c r="E67" i="26"/>
  <c r="E66" i="26"/>
  <c r="E65" i="26"/>
  <c r="D67" i="26"/>
  <c r="D66" i="26"/>
  <c r="D65" i="26"/>
  <c r="E63" i="26"/>
  <c r="E62" i="26"/>
  <c r="E61" i="26"/>
  <c r="E59" i="26"/>
  <c r="E58" i="26"/>
  <c r="E57" i="26"/>
  <c r="D63" i="26"/>
  <c r="D62" i="26"/>
  <c r="D61" i="26"/>
  <c r="D59" i="26"/>
  <c r="D58" i="26"/>
  <c r="D57" i="26"/>
  <c r="E55" i="26"/>
  <c r="E54" i="26"/>
  <c r="E53" i="26"/>
  <c r="D55" i="26"/>
  <c r="D54" i="26"/>
  <c r="D53" i="26"/>
  <c r="E51" i="26"/>
  <c r="E50" i="26"/>
  <c r="E49" i="26"/>
  <c r="D51" i="26"/>
  <c r="D49" i="26"/>
  <c r="F49" i="26"/>
  <c r="B154" i="29" l="1"/>
  <c r="B153" i="29"/>
  <c r="B152" i="29"/>
  <c r="B151" i="29"/>
  <c r="B150" i="29"/>
  <c r="B149" i="29"/>
  <c r="B148" i="29"/>
  <c r="B147" i="29"/>
  <c r="B146" i="29"/>
  <c r="B145" i="29"/>
  <c r="B144" i="29"/>
  <c r="B143" i="29"/>
  <c r="B142" i="29"/>
  <c r="B141" i="29"/>
  <c r="B140" i="29"/>
  <c r="B139" i="29"/>
  <c r="B138" i="29"/>
  <c r="B137" i="29"/>
  <c r="B136" i="29"/>
  <c r="B135" i="29"/>
  <c r="B134" i="29"/>
  <c r="B133" i="29"/>
  <c r="B132" i="29"/>
  <c r="B131" i="29"/>
  <c r="B130" i="29"/>
  <c r="B129" i="29"/>
  <c r="B128" i="29"/>
  <c r="B127" i="29"/>
  <c r="B126" i="29"/>
  <c r="B125" i="29"/>
  <c r="B124" i="29"/>
  <c r="B123" i="29"/>
  <c r="B122" i="29"/>
  <c r="B121" i="29"/>
  <c r="B120" i="29"/>
  <c r="B119" i="29"/>
  <c r="B118" i="29"/>
  <c r="B117" i="29"/>
  <c r="B116" i="29"/>
  <c r="B115" i="29"/>
  <c r="B114" i="29"/>
  <c r="B113" i="29"/>
  <c r="B112" i="29"/>
  <c r="B111" i="29"/>
  <c r="B110" i="29"/>
  <c r="B109" i="29"/>
  <c r="B108" i="29"/>
  <c r="B107" i="29"/>
  <c r="B106" i="29"/>
  <c r="B105" i="29"/>
  <c r="B104" i="29"/>
  <c r="B103" i="29"/>
  <c r="B102" i="29"/>
  <c r="B101" i="29"/>
  <c r="B100" i="29"/>
  <c r="B99" i="29"/>
  <c r="B98" i="29"/>
  <c r="B97" i="29"/>
  <c r="B96" i="29"/>
  <c r="B95" i="29"/>
  <c r="B94" i="29"/>
  <c r="B93" i="29"/>
  <c r="B92" i="29"/>
  <c r="B91" i="29"/>
  <c r="B90" i="29"/>
  <c r="B32" i="29"/>
  <c r="B89" i="29"/>
  <c r="B31" i="29"/>
  <c r="B88" i="29"/>
  <c r="B30" i="29"/>
  <c r="B87" i="29"/>
  <c r="B29" i="29"/>
  <c r="B86" i="29"/>
  <c r="B28" i="29"/>
  <c r="B85" i="29"/>
  <c r="B27" i="29"/>
  <c r="B84" i="29"/>
  <c r="B26" i="29"/>
  <c r="B83" i="29"/>
  <c r="B25" i="29"/>
  <c r="B82" i="29"/>
  <c r="B24" i="29"/>
  <c r="B81" i="29"/>
  <c r="B23" i="29"/>
  <c r="B80" i="29"/>
  <c r="B22" i="29"/>
  <c r="B79" i="29"/>
  <c r="B21" i="29"/>
  <c r="B78" i="29"/>
  <c r="B20" i="29"/>
  <c r="B77" i="29"/>
  <c r="B19" i="29"/>
  <c r="B76" i="29"/>
  <c r="B18" i="29"/>
  <c r="B75" i="29"/>
  <c r="B17" i="29"/>
  <c r="B74" i="29"/>
  <c r="B16" i="29"/>
  <c r="B73" i="29"/>
  <c r="B15" i="29"/>
  <c r="B72" i="29"/>
  <c r="B14" i="29"/>
  <c r="B71" i="29"/>
  <c r="B13" i="29"/>
  <c r="B70" i="29"/>
  <c r="B12" i="29"/>
  <c r="B69" i="29"/>
  <c r="B11" i="29"/>
  <c r="B68" i="29"/>
  <c r="B10" i="29"/>
  <c r="B67" i="29"/>
  <c r="B9" i="29"/>
  <c r="B8" i="29"/>
  <c r="M8" i="29" l="1"/>
  <c r="H8" i="29"/>
  <c r="AE9" i="29" s="1"/>
  <c r="BY9" i="29" s="1"/>
  <c r="L8" i="29"/>
  <c r="G8" i="29"/>
  <c r="K8" i="29"/>
  <c r="E8" i="29"/>
  <c r="J8" i="29"/>
  <c r="F8" i="29"/>
  <c r="I8" i="29"/>
  <c r="B37" i="29"/>
  <c r="G37" i="29" s="1"/>
  <c r="AR9" i="29" l="1"/>
  <c r="AR10" i="29" s="1"/>
  <c r="BD21" i="29"/>
  <c r="AZ17" i="29"/>
  <c r="AZ18" i="29" s="1"/>
  <c r="CU18" i="29" s="1"/>
  <c r="AV13" i="29"/>
  <c r="AV14" i="29" s="1"/>
  <c r="CQ14" i="29" s="1"/>
  <c r="AS10" i="29"/>
  <c r="AS11" i="29" s="1"/>
  <c r="BD22" i="29"/>
  <c r="CY22" i="29" s="1"/>
  <c r="BC20" i="29"/>
  <c r="AY16" i="29"/>
  <c r="AY17" i="29" s="1"/>
  <c r="AU12" i="29"/>
  <c r="AW14" i="29"/>
  <c r="BC21" i="29"/>
  <c r="CX21" i="29" s="1"/>
  <c r="BB19" i="29"/>
  <c r="AX15" i="29"/>
  <c r="AT11" i="29"/>
  <c r="BA18" i="29"/>
  <c r="CV18" i="29" s="1"/>
  <c r="AD21" i="29"/>
  <c r="BX21" i="29" s="1"/>
  <c r="Z17" i="29"/>
  <c r="V13" i="29"/>
  <c r="R9" i="29"/>
  <c r="AC20" i="29"/>
  <c r="Y16" i="29"/>
  <c r="BS16" i="29" s="1"/>
  <c r="U12" i="29"/>
  <c r="BO12" i="29" s="1"/>
  <c r="AB19" i="29"/>
  <c r="T11" i="29"/>
  <c r="W14" i="29"/>
  <c r="AA18" i="29"/>
  <c r="BU18" i="29" s="1"/>
  <c r="S10" i="29"/>
  <c r="BM10" i="29" s="1"/>
  <c r="X15" i="29"/>
  <c r="BR15" i="29" s="1"/>
  <c r="I73" i="29"/>
  <c r="I71" i="29"/>
  <c r="J71" i="29" s="1"/>
  <c r="AP20" i="29"/>
  <c r="AE10" i="29"/>
  <c r="BY10" i="29" s="1"/>
  <c r="AM17" i="29"/>
  <c r="I74" i="29"/>
  <c r="AH12" i="29"/>
  <c r="AL16" i="29"/>
  <c r="I75" i="29"/>
  <c r="I85" i="29"/>
  <c r="AK15" i="29"/>
  <c r="AN18" i="29"/>
  <c r="I84" i="29"/>
  <c r="I78" i="29"/>
  <c r="I77" i="29"/>
  <c r="I81" i="29"/>
  <c r="I87" i="29"/>
  <c r="I76" i="29"/>
  <c r="I86" i="29"/>
  <c r="AO19" i="29"/>
  <c r="AF10" i="29"/>
  <c r="I80" i="29"/>
  <c r="AI13" i="29"/>
  <c r="AQ21" i="29"/>
  <c r="I83" i="29"/>
  <c r="I72" i="29"/>
  <c r="I79" i="29"/>
  <c r="AG11" i="29"/>
  <c r="I82" i="29"/>
  <c r="AJ14" i="29"/>
  <c r="K71" i="29"/>
  <c r="I91" i="29"/>
  <c r="I96" i="29"/>
  <c r="I92" i="29"/>
  <c r="I89" i="29"/>
  <c r="I98" i="29"/>
  <c r="I95" i="29"/>
  <c r="I93" i="29"/>
  <c r="I97" i="29"/>
  <c r="I90" i="29"/>
  <c r="I100" i="29"/>
  <c r="I99" i="29"/>
  <c r="I94" i="29"/>
  <c r="I88" i="29"/>
  <c r="Y17" i="29" l="1"/>
  <c r="Y18" i="29" s="1"/>
  <c r="CT17" i="29"/>
  <c r="AY18" i="29"/>
  <c r="AY19" i="29" s="1"/>
  <c r="CN11" i="29"/>
  <c r="AS12" i="29"/>
  <c r="CM10" i="29"/>
  <c r="AR11" i="29"/>
  <c r="T12" i="29"/>
  <c r="BN11" i="29"/>
  <c r="CO11" i="29"/>
  <c r="CR14" i="29"/>
  <c r="AB20" i="29"/>
  <c r="BV19" i="29"/>
  <c r="R10" i="29"/>
  <c r="BL9" i="29"/>
  <c r="CS15" i="29"/>
  <c r="AX16" i="29"/>
  <c r="CP12" i="29"/>
  <c r="BD23" i="29"/>
  <c r="CQ13" i="29"/>
  <c r="BC22" i="29"/>
  <c r="AC21" i="29"/>
  <c r="BW20" i="29"/>
  <c r="V14" i="29"/>
  <c r="BP13" i="29"/>
  <c r="CW19" i="29"/>
  <c r="BB20" i="29"/>
  <c r="CT16" i="29"/>
  <c r="BA19" i="29"/>
  <c r="CU17" i="29"/>
  <c r="AW15" i="29"/>
  <c r="CN10" i="29"/>
  <c r="CM9" i="29"/>
  <c r="W15" i="29"/>
  <c r="BQ14" i="29"/>
  <c r="Z18" i="29"/>
  <c r="BT17" i="29"/>
  <c r="AZ19" i="29"/>
  <c r="AT12" i="29"/>
  <c r="CX20" i="29"/>
  <c r="AV15" i="29"/>
  <c r="CY21" i="29"/>
  <c r="AU13" i="29"/>
  <c r="AG12" i="29"/>
  <c r="CA12" i="29" s="1"/>
  <c r="CA11" i="29"/>
  <c r="AQ22" i="29"/>
  <c r="CK21" i="29"/>
  <c r="AO20" i="29"/>
  <c r="CI19" i="29"/>
  <c r="AN19" i="29"/>
  <c r="CH19" i="29" s="1"/>
  <c r="CH18" i="29"/>
  <c r="AL17" i="29"/>
  <c r="CF16" i="29"/>
  <c r="AI14" i="29"/>
  <c r="CC13" i="29"/>
  <c r="AK16" i="29"/>
  <c r="CE16" i="29" s="1"/>
  <c r="CE15" i="29"/>
  <c r="AH13" i="29"/>
  <c r="CB12" i="29"/>
  <c r="AP21" i="29"/>
  <c r="CJ20" i="29"/>
  <c r="AJ15" i="29"/>
  <c r="CD14" i="29"/>
  <c r="S11" i="29"/>
  <c r="AD22" i="29"/>
  <c r="U13" i="29"/>
  <c r="AF11" i="29"/>
  <c r="BZ10" i="29"/>
  <c r="AM18" i="29"/>
  <c r="CG18" i="29" s="1"/>
  <c r="CG17" i="29"/>
  <c r="X16" i="29"/>
  <c r="AA19" i="29"/>
  <c r="L71" i="29"/>
  <c r="AE11" i="29"/>
  <c r="BY11" i="29" s="1"/>
  <c r="J72" i="29"/>
  <c r="K89" i="29"/>
  <c r="K86" i="29"/>
  <c r="K97" i="29"/>
  <c r="K87" i="29"/>
  <c r="K76" i="29"/>
  <c r="K85" i="29"/>
  <c r="K72" i="29"/>
  <c r="K95" i="29"/>
  <c r="K77" i="29"/>
  <c r="K92" i="29"/>
  <c r="K79" i="29"/>
  <c r="K88" i="29"/>
  <c r="K81" i="29"/>
  <c r="K84" i="29"/>
  <c r="K93" i="29"/>
  <c r="K90" i="29"/>
  <c r="K74" i="29"/>
  <c r="K91" i="29"/>
  <c r="K78" i="29"/>
  <c r="K96" i="29"/>
  <c r="K75" i="29"/>
  <c r="K73" i="29"/>
  <c r="K100" i="29"/>
  <c r="K82" i="29"/>
  <c r="K94" i="29"/>
  <c r="K83" i="29"/>
  <c r="K98" i="29"/>
  <c r="K80" i="29"/>
  <c r="K99" i="29"/>
  <c r="AM19" i="29"/>
  <c r="I101" i="29"/>
  <c r="BS17" i="29" l="1"/>
  <c r="CT18" i="29"/>
  <c r="CU19" i="29"/>
  <c r="AZ20" i="29"/>
  <c r="AW16" i="29"/>
  <c r="CR15" i="29"/>
  <c r="U14" i="29"/>
  <c r="BO13" i="29"/>
  <c r="CP13" i="29"/>
  <c r="AU14" i="29"/>
  <c r="AC22" i="29"/>
  <c r="BW21" i="29"/>
  <c r="CQ15" i="29"/>
  <c r="AV16" i="29"/>
  <c r="AB21" i="29"/>
  <c r="BV20" i="29"/>
  <c r="CM11" i="29"/>
  <c r="AR12" i="29"/>
  <c r="AA20" i="29"/>
  <c r="BU19" i="29"/>
  <c r="AD23" i="29"/>
  <c r="BX22" i="29"/>
  <c r="Z19" i="29"/>
  <c r="BT18" i="29"/>
  <c r="AY20" i="29"/>
  <c r="CT19" i="29"/>
  <c r="CW20" i="29"/>
  <c r="BB21" i="29"/>
  <c r="CS16" i="29"/>
  <c r="AX17" i="29"/>
  <c r="R11" i="29"/>
  <c r="BL10" i="29"/>
  <c r="AS13" i="29"/>
  <c r="CN12" i="29"/>
  <c r="W16" i="29"/>
  <c r="BQ15" i="29"/>
  <c r="BC23" i="29"/>
  <c r="CX22" i="29"/>
  <c r="X17" i="29"/>
  <c r="BR16" i="29"/>
  <c r="AG13" i="29"/>
  <c r="AG14" i="29" s="1"/>
  <c r="S12" i="29"/>
  <c r="BM11" i="29"/>
  <c r="CO12" i="29"/>
  <c r="AT13" i="29"/>
  <c r="CV19" i="29"/>
  <c r="BA20" i="29"/>
  <c r="V15" i="29"/>
  <c r="BP14" i="29"/>
  <c r="Y19" i="29"/>
  <c r="BS18" i="29"/>
  <c r="CY23" i="29"/>
  <c r="BD24" i="29"/>
  <c r="T13" i="29"/>
  <c r="BN12" i="29"/>
  <c r="AM20" i="29"/>
  <c r="CG19" i="29"/>
  <c r="AP22" i="29"/>
  <c r="CJ21" i="29"/>
  <c r="AQ23" i="29"/>
  <c r="CK22" i="29"/>
  <c r="AF12" i="29"/>
  <c r="BZ11" i="29"/>
  <c r="AH14" i="29"/>
  <c r="CB13" i="29"/>
  <c r="AI15" i="29"/>
  <c r="CC14" i="29"/>
  <c r="AL18" i="29"/>
  <c r="CF17" i="29"/>
  <c r="AO21" i="29"/>
  <c r="CI20" i="29"/>
  <c r="AK17" i="29"/>
  <c r="AN20" i="29"/>
  <c r="AJ16" i="29"/>
  <c r="CD15" i="29"/>
  <c r="AE12" i="29"/>
  <c r="BY12" i="29" s="1"/>
  <c r="J73" i="29"/>
  <c r="L72" i="29"/>
  <c r="CA13" i="29" l="1"/>
  <c r="V16" i="29"/>
  <c r="BP15" i="29"/>
  <c r="CS17" i="29"/>
  <c r="AX18" i="29"/>
  <c r="AU15" i="29"/>
  <c r="CP14" i="29"/>
  <c r="AT14" i="29"/>
  <c r="CO13" i="29"/>
  <c r="S13" i="29"/>
  <c r="BM12" i="29"/>
  <c r="X18" i="29"/>
  <c r="BR17" i="29"/>
  <c r="W17" i="29"/>
  <c r="BQ16" i="29"/>
  <c r="AD24" i="29"/>
  <c r="BX23" i="29"/>
  <c r="T14" i="29"/>
  <c r="BN13" i="29"/>
  <c r="CM12" i="29"/>
  <c r="AR13" i="29"/>
  <c r="Y20" i="29"/>
  <c r="BS19" i="29"/>
  <c r="Z20" i="29"/>
  <c r="BT19" i="29"/>
  <c r="CQ16" i="29"/>
  <c r="AV17" i="29"/>
  <c r="AC23" i="29"/>
  <c r="BW22" i="29"/>
  <c r="CU20" i="29"/>
  <c r="AZ21" i="29"/>
  <c r="CY24" i="29"/>
  <c r="BD25" i="29"/>
  <c r="BA21" i="29"/>
  <c r="CV20" i="29"/>
  <c r="BC24" i="29"/>
  <c r="CX23" i="29"/>
  <c r="AS14" i="29"/>
  <c r="CN13" i="29"/>
  <c r="R12" i="29"/>
  <c r="BL11" i="29"/>
  <c r="CW21" i="29"/>
  <c r="BB22" i="29"/>
  <c r="AY21" i="29"/>
  <c r="CT20" i="29"/>
  <c r="AA21" i="29"/>
  <c r="BU20" i="29"/>
  <c r="AB22" i="29"/>
  <c r="BV21" i="29"/>
  <c r="U15" i="29"/>
  <c r="BO14" i="29"/>
  <c r="AW17" i="29"/>
  <c r="CR16" i="29"/>
  <c r="AK18" i="29"/>
  <c r="CE17" i="29"/>
  <c r="AP23" i="29"/>
  <c r="CJ22" i="29"/>
  <c r="AJ17" i="29"/>
  <c r="CD16" i="29"/>
  <c r="AI16" i="29"/>
  <c r="CC15" i="29"/>
  <c r="AG15" i="29"/>
  <c r="CA14" i="29"/>
  <c r="AM21" i="29"/>
  <c r="CG20" i="29"/>
  <c r="AO22" i="29"/>
  <c r="CI21" i="29"/>
  <c r="AQ24" i="29"/>
  <c r="CK23" i="29"/>
  <c r="AN21" i="29"/>
  <c r="CH20" i="29"/>
  <c r="AL19" i="29"/>
  <c r="CF18" i="29"/>
  <c r="AH15" i="29"/>
  <c r="CB14" i="29"/>
  <c r="AF13" i="29"/>
  <c r="BZ12" i="29"/>
  <c r="AE13" i="29"/>
  <c r="BY13" i="29" s="1"/>
  <c r="J74" i="29"/>
  <c r="L73" i="29"/>
  <c r="AW18" i="29" l="1"/>
  <c r="CR17" i="29"/>
  <c r="CY25" i="29"/>
  <c r="BD26" i="29"/>
  <c r="T15" i="29"/>
  <c r="BN14" i="29"/>
  <c r="AT15" i="29"/>
  <c r="CO14" i="29"/>
  <c r="CS18" i="29"/>
  <c r="AX19" i="29"/>
  <c r="V17" i="29"/>
  <c r="BP16" i="29"/>
  <c r="BC25" i="29"/>
  <c r="CX24" i="29"/>
  <c r="CM13" i="29"/>
  <c r="AR14" i="29"/>
  <c r="X19" i="29"/>
  <c r="BR18" i="29"/>
  <c r="AU16" i="29"/>
  <c r="CP15" i="29"/>
  <c r="AY22" i="29"/>
  <c r="CT21" i="29"/>
  <c r="AS15" i="29"/>
  <c r="CN14" i="29"/>
  <c r="BA22" i="29"/>
  <c r="CV21" i="29"/>
  <c r="Y21" i="29"/>
  <c r="BS20" i="29"/>
  <c r="W18" i="29"/>
  <c r="BQ17" i="29"/>
  <c r="S14" i="29"/>
  <c r="BM13" i="29"/>
  <c r="AB23" i="29"/>
  <c r="BV22" i="29"/>
  <c r="U16" i="29"/>
  <c r="BO15" i="29"/>
  <c r="AA22" i="29"/>
  <c r="BU21" i="29"/>
  <c r="CW22" i="29"/>
  <c r="BB23" i="29"/>
  <c r="R13" i="29"/>
  <c r="BL12" i="29"/>
  <c r="AZ22" i="29"/>
  <c r="CU21" i="29"/>
  <c r="AC24" i="29"/>
  <c r="BW23" i="29"/>
  <c r="AV18" i="29"/>
  <c r="CQ17" i="29"/>
  <c r="Z21" i="29"/>
  <c r="BT20" i="29"/>
  <c r="AD25" i="29"/>
  <c r="BX24" i="29"/>
  <c r="AH16" i="29"/>
  <c r="CB15" i="29"/>
  <c r="AI17" i="29"/>
  <c r="CC16" i="29"/>
  <c r="AF14" i="29"/>
  <c r="BZ13" i="29"/>
  <c r="AL20" i="29"/>
  <c r="CF19" i="29"/>
  <c r="AO23" i="29"/>
  <c r="CI22" i="29"/>
  <c r="AG16" i="29"/>
  <c r="CA15" i="29"/>
  <c r="AN22" i="29"/>
  <c r="CH21" i="29"/>
  <c r="AM22" i="29"/>
  <c r="CG21" i="29"/>
  <c r="AK19" i="29"/>
  <c r="CE18" i="29"/>
  <c r="AQ25" i="29"/>
  <c r="CK24" i="29"/>
  <c r="AJ18" i="29"/>
  <c r="CD17" i="29"/>
  <c r="AP24" i="29"/>
  <c r="CJ23" i="29"/>
  <c r="AE14" i="29"/>
  <c r="BY14" i="29" s="1"/>
  <c r="L74" i="29"/>
  <c r="J75" i="29"/>
  <c r="BA23" i="29" l="1"/>
  <c r="CV22" i="29"/>
  <c r="AW19" i="29"/>
  <c r="CR18" i="29"/>
  <c r="AD26" i="29"/>
  <c r="BX25" i="29"/>
  <c r="Z22" i="29"/>
  <c r="BT21" i="29"/>
  <c r="AC25" i="29"/>
  <c r="BW24" i="29"/>
  <c r="R14" i="29"/>
  <c r="BL13" i="29"/>
  <c r="S15" i="29"/>
  <c r="BM14" i="29"/>
  <c r="Y22" i="29"/>
  <c r="BS21" i="29"/>
  <c r="X20" i="29"/>
  <c r="BR19" i="29"/>
  <c r="V18" i="29"/>
  <c r="BP17" i="29"/>
  <c r="AT16" i="29"/>
  <c r="CO15" i="29"/>
  <c r="AY23" i="29"/>
  <c r="CT22" i="29"/>
  <c r="CY26" i="29"/>
  <c r="BD27" i="29"/>
  <c r="U17" i="29"/>
  <c r="BO16" i="29"/>
  <c r="AB24" i="29"/>
  <c r="BV23" i="29"/>
  <c r="AS16" i="29"/>
  <c r="CN15" i="29"/>
  <c r="AU17" i="29"/>
  <c r="CP16" i="29"/>
  <c r="CS19" i="29"/>
  <c r="AX20" i="29"/>
  <c r="AV19" i="29"/>
  <c r="CQ18" i="29"/>
  <c r="AZ23" i="29"/>
  <c r="CU22" i="29"/>
  <c r="BB24" i="29"/>
  <c r="CW23" i="29"/>
  <c r="AA23" i="29"/>
  <c r="BU22" i="29"/>
  <c r="W19" i="29"/>
  <c r="BQ18" i="29"/>
  <c r="AR15" i="29"/>
  <c r="CM14" i="29"/>
  <c r="CX25" i="29"/>
  <c r="BC26" i="29"/>
  <c r="T16" i="29"/>
  <c r="BN15" i="29"/>
  <c r="AM23" i="29"/>
  <c r="CG22" i="29"/>
  <c r="CK25" i="29"/>
  <c r="AQ26" i="29"/>
  <c r="AH17" i="29"/>
  <c r="CB16" i="29"/>
  <c r="AK20" i="29"/>
  <c r="CE19" i="29"/>
  <c r="AP25" i="29"/>
  <c r="CJ24" i="29"/>
  <c r="AO24" i="29"/>
  <c r="CI23" i="29"/>
  <c r="AL21" i="29"/>
  <c r="CF20" i="29"/>
  <c r="AJ19" i="29"/>
  <c r="CD18" i="29"/>
  <c r="AN23" i="29"/>
  <c r="CH22" i="29"/>
  <c r="AG17" i="29"/>
  <c r="CA16" i="29"/>
  <c r="AF15" i="29"/>
  <c r="BZ14" i="29"/>
  <c r="AI18" i="29"/>
  <c r="CC17" i="29"/>
  <c r="AE15" i="29"/>
  <c r="BY15" i="29" s="1"/>
  <c r="L75" i="29"/>
  <c r="J76" i="29"/>
  <c r="AS17" i="29" l="1"/>
  <c r="CN16" i="29"/>
  <c r="Z23" i="29"/>
  <c r="BT22" i="29"/>
  <c r="AV20" i="29"/>
  <c r="CQ19" i="29"/>
  <c r="AX21" i="29"/>
  <c r="CS20" i="29"/>
  <c r="AU18" i="29"/>
  <c r="CP17" i="29"/>
  <c r="AT17" i="29"/>
  <c r="CO16" i="29"/>
  <c r="X21" i="29"/>
  <c r="BR20" i="29"/>
  <c r="Y23" i="29"/>
  <c r="BS22" i="29"/>
  <c r="AC26" i="29"/>
  <c r="BW25" i="29"/>
  <c r="U18" i="29"/>
  <c r="BO17" i="29"/>
  <c r="T17" i="29"/>
  <c r="BN16" i="29"/>
  <c r="AR16" i="29"/>
  <c r="CM15" i="29"/>
  <c r="AA24" i="29"/>
  <c r="BU23" i="29"/>
  <c r="AZ24" i="29"/>
  <c r="CU23" i="29"/>
  <c r="AB25" i="29"/>
  <c r="BV24" i="29"/>
  <c r="CY27" i="29"/>
  <c r="BD28" i="29"/>
  <c r="AY24" i="29"/>
  <c r="CT23" i="29"/>
  <c r="R15" i="29"/>
  <c r="BL14" i="29"/>
  <c r="AD27" i="29"/>
  <c r="BX26" i="29"/>
  <c r="BA24" i="29"/>
  <c r="CV23" i="29"/>
  <c r="BB25" i="29"/>
  <c r="CW24" i="29"/>
  <c r="AW20" i="29"/>
  <c r="CR19" i="29"/>
  <c r="CX26" i="29"/>
  <c r="BC27" i="29"/>
  <c r="W20" i="29"/>
  <c r="BQ19" i="29"/>
  <c r="V19" i="29"/>
  <c r="BP18" i="29"/>
  <c r="S16" i="29"/>
  <c r="BM15" i="29"/>
  <c r="AI19" i="29"/>
  <c r="CC18" i="29"/>
  <c r="AN24" i="29"/>
  <c r="CH23" i="29"/>
  <c r="AP26" i="29"/>
  <c r="CJ25" i="29"/>
  <c r="AO25" i="29"/>
  <c r="CI24" i="29"/>
  <c r="AH18" i="29"/>
  <c r="CB17" i="29"/>
  <c r="AF16" i="29"/>
  <c r="BZ15" i="29"/>
  <c r="AK21" i="29"/>
  <c r="CE20" i="29"/>
  <c r="CK26" i="29"/>
  <c r="AQ27" i="29"/>
  <c r="AJ20" i="29"/>
  <c r="CD19" i="29"/>
  <c r="AG18" i="29"/>
  <c r="CA17" i="29"/>
  <c r="AL22" i="29"/>
  <c r="CF21" i="29"/>
  <c r="AM24" i="29"/>
  <c r="CG23" i="29"/>
  <c r="AE16" i="29"/>
  <c r="BY16" i="29" s="1"/>
  <c r="L76" i="29"/>
  <c r="J77" i="29"/>
  <c r="BA25" i="29" l="1"/>
  <c r="CV24" i="29"/>
  <c r="CW25" i="29"/>
  <c r="BB26" i="29"/>
  <c r="R16" i="29"/>
  <c r="BL15" i="29"/>
  <c r="U19" i="29"/>
  <c r="BO18" i="29"/>
  <c r="Y24" i="29"/>
  <c r="BS23" i="29"/>
  <c r="AX22" i="29"/>
  <c r="CS21" i="29"/>
  <c r="CY28" i="29"/>
  <c r="BD29" i="29"/>
  <c r="AZ25" i="29"/>
  <c r="CU24" i="29"/>
  <c r="W21" i="29"/>
  <c r="BQ20" i="29"/>
  <c r="AW21" i="29"/>
  <c r="CR20" i="29"/>
  <c r="AD28" i="29"/>
  <c r="BX27" i="29"/>
  <c r="T18" i="29"/>
  <c r="BN17" i="29"/>
  <c r="AT18" i="29"/>
  <c r="CO17" i="29"/>
  <c r="AU19" i="29"/>
  <c r="CP18" i="29"/>
  <c r="AS18" i="29"/>
  <c r="CN17" i="29"/>
  <c r="AB26" i="29"/>
  <c r="BV25" i="29"/>
  <c r="S17" i="29"/>
  <c r="BM16" i="29"/>
  <c r="V20" i="29"/>
  <c r="BP19" i="29"/>
  <c r="CX27" i="29"/>
  <c r="BC28" i="29"/>
  <c r="AY25" i="29"/>
  <c r="CT24" i="29"/>
  <c r="AA25" i="29"/>
  <c r="BU24" i="29"/>
  <c r="AR17" i="29"/>
  <c r="CM16" i="29"/>
  <c r="AC27" i="29"/>
  <c r="BW26" i="29"/>
  <c r="X22" i="29"/>
  <c r="BR21" i="29"/>
  <c r="AV21" i="29"/>
  <c r="CQ20" i="29"/>
  <c r="Z24" i="29"/>
  <c r="BT23" i="29"/>
  <c r="AF17" i="29"/>
  <c r="BZ16" i="29"/>
  <c r="AJ21" i="29"/>
  <c r="CD20" i="29"/>
  <c r="AO26" i="29"/>
  <c r="CI25" i="29"/>
  <c r="AI20" i="29"/>
  <c r="CC19" i="29"/>
  <c r="AL23" i="29"/>
  <c r="CF22" i="29"/>
  <c r="AG19" i="29"/>
  <c r="CA18" i="29"/>
  <c r="AK22" i="29"/>
  <c r="CE21" i="29"/>
  <c r="AN25" i="29"/>
  <c r="CH24" i="29"/>
  <c r="AM25" i="29"/>
  <c r="CG24" i="29"/>
  <c r="AQ28" i="29"/>
  <c r="CK27" i="29"/>
  <c r="AH19" i="29"/>
  <c r="CB18" i="29"/>
  <c r="AP27" i="29"/>
  <c r="CJ26" i="29"/>
  <c r="AE17" i="29"/>
  <c r="BY17" i="29" s="1"/>
  <c r="J78" i="29"/>
  <c r="L77" i="29"/>
  <c r="AA26" i="29" l="1"/>
  <c r="BU25" i="29"/>
  <c r="CX28" i="29"/>
  <c r="BC29" i="29"/>
  <c r="AB27" i="29"/>
  <c r="BV26" i="29"/>
  <c r="AU20" i="29"/>
  <c r="CP19" i="29"/>
  <c r="T19" i="29"/>
  <c r="BN18" i="29"/>
  <c r="AX23" i="29"/>
  <c r="CS22" i="29"/>
  <c r="U20" i="29"/>
  <c r="BO19" i="29"/>
  <c r="CW26" i="29"/>
  <c r="BB27" i="29"/>
  <c r="Z25" i="29"/>
  <c r="BT24" i="29"/>
  <c r="V21" i="29"/>
  <c r="BP20" i="29"/>
  <c r="AD29" i="29"/>
  <c r="BX28" i="29"/>
  <c r="CU25" i="29"/>
  <c r="AZ26" i="29"/>
  <c r="CV25" i="29"/>
  <c r="BA26" i="29"/>
  <c r="AV22" i="29"/>
  <c r="CQ21" i="29"/>
  <c r="AR18" i="29"/>
  <c r="CM17" i="29"/>
  <c r="W22" i="29"/>
  <c r="BQ21" i="29"/>
  <c r="CY29" i="29"/>
  <c r="BD30" i="29"/>
  <c r="R17" i="29"/>
  <c r="BL16" i="29"/>
  <c r="X23" i="29"/>
  <c r="BR22" i="29"/>
  <c r="AC28" i="29"/>
  <c r="BW27" i="29"/>
  <c r="CT25" i="29"/>
  <c r="AY26" i="29"/>
  <c r="S18" i="29"/>
  <c r="BM17" i="29"/>
  <c r="AS19" i="29"/>
  <c r="CN18" i="29"/>
  <c r="AT19" i="29"/>
  <c r="CO18" i="29"/>
  <c r="AW22" i="29"/>
  <c r="CR21" i="29"/>
  <c r="Y25" i="29"/>
  <c r="BS24" i="29"/>
  <c r="CK28" i="29"/>
  <c r="AQ29" i="29"/>
  <c r="AI21" i="29"/>
  <c r="CC20" i="29"/>
  <c r="AJ22" i="29"/>
  <c r="CD21" i="29"/>
  <c r="AH20" i="29"/>
  <c r="CB19" i="29"/>
  <c r="AP28" i="29"/>
  <c r="CJ27" i="29"/>
  <c r="AM26" i="29"/>
  <c r="CG25" i="29"/>
  <c r="AK23" i="29"/>
  <c r="CE22" i="29"/>
  <c r="AL24" i="29"/>
  <c r="CF23" i="29"/>
  <c r="AN26" i="29"/>
  <c r="CH25" i="29"/>
  <c r="AG20" i="29"/>
  <c r="CA19" i="29"/>
  <c r="AO27" i="29"/>
  <c r="CI26" i="29"/>
  <c r="AF18" i="29"/>
  <c r="BZ17" i="29"/>
  <c r="AE18" i="29"/>
  <c r="BY18" i="29" s="1"/>
  <c r="J79" i="29"/>
  <c r="L78" i="29"/>
  <c r="U21" i="29" l="1"/>
  <c r="BO20" i="29"/>
  <c r="CX29" i="29"/>
  <c r="BC30" i="29"/>
  <c r="AW23" i="29"/>
  <c r="CR22" i="29"/>
  <c r="S19" i="29"/>
  <c r="BM18" i="29"/>
  <c r="R18" i="29"/>
  <c r="BL17" i="29"/>
  <c r="CV26" i="29"/>
  <c r="BA27" i="29"/>
  <c r="V22" i="29"/>
  <c r="BP21" i="29"/>
  <c r="CW27" i="29"/>
  <c r="BB28" i="29"/>
  <c r="AU21" i="29"/>
  <c r="CP20" i="29"/>
  <c r="AT20" i="29"/>
  <c r="CO19" i="29"/>
  <c r="AV23" i="29"/>
  <c r="CQ22" i="29"/>
  <c r="Z26" i="29"/>
  <c r="BT25" i="29"/>
  <c r="AA27" i="29"/>
  <c r="BU26" i="29"/>
  <c r="CT26" i="29"/>
  <c r="AY27" i="29"/>
  <c r="W23" i="29"/>
  <c r="BQ22" i="29"/>
  <c r="AR19" i="29"/>
  <c r="CM18" i="29"/>
  <c r="AD30" i="29"/>
  <c r="BX29" i="29"/>
  <c r="AX24" i="29"/>
  <c r="CS23" i="29"/>
  <c r="T20" i="29"/>
  <c r="BN19" i="29"/>
  <c r="Y26" i="29"/>
  <c r="BS25" i="29"/>
  <c r="AS20" i="29"/>
  <c r="CN19" i="29"/>
  <c r="AC29" i="29"/>
  <c r="BW28" i="29"/>
  <c r="X24" i="29"/>
  <c r="BR23" i="29"/>
  <c r="CY30" i="29"/>
  <c r="BD31" i="29"/>
  <c r="CU26" i="29"/>
  <c r="AZ27" i="29"/>
  <c r="AB28" i="29"/>
  <c r="BV27" i="29"/>
  <c r="AG21" i="29"/>
  <c r="CA20" i="29"/>
  <c r="AP29" i="29"/>
  <c r="CJ28" i="29"/>
  <c r="AI22" i="29"/>
  <c r="CC21" i="29"/>
  <c r="AO28" i="29"/>
  <c r="CI27" i="29"/>
  <c r="AL25" i="29"/>
  <c r="CF24" i="29"/>
  <c r="AJ23" i="29"/>
  <c r="CD22" i="29"/>
  <c r="AQ30" i="29"/>
  <c r="CK29" i="29"/>
  <c r="AM27" i="29"/>
  <c r="CG26" i="29"/>
  <c r="AF19" i="29"/>
  <c r="BZ18" i="29"/>
  <c r="AN27" i="29"/>
  <c r="CH26" i="29"/>
  <c r="AK24" i="29"/>
  <c r="CE23" i="29"/>
  <c r="AH21" i="29"/>
  <c r="CB20" i="29"/>
  <c r="AE19" i="29"/>
  <c r="BY19" i="29" s="1"/>
  <c r="J80" i="29"/>
  <c r="L79" i="29"/>
  <c r="AS21" i="29" l="1"/>
  <c r="CN20" i="29"/>
  <c r="AR20" i="29"/>
  <c r="CM19" i="29"/>
  <c r="AA28" i="29"/>
  <c r="BU27" i="29"/>
  <c r="AV24" i="29"/>
  <c r="CQ23" i="29"/>
  <c r="AU22" i="29"/>
  <c r="CP21" i="29"/>
  <c r="V23" i="29"/>
  <c r="BP22" i="29"/>
  <c r="R19" i="29"/>
  <c r="BL18" i="29"/>
  <c r="X25" i="29"/>
  <c r="BR24" i="29"/>
  <c r="AB29" i="29"/>
  <c r="BV28" i="29"/>
  <c r="BD32" i="29"/>
  <c r="CY31" i="29"/>
  <c r="T21" i="29"/>
  <c r="BN20" i="29"/>
  <c r="CT27" i="29"/>
  <c r="AY28" i="29"/>
  <c r="CW28" i="29"/>
  <c r="BB29" i="29"/>
  <c r="CV27" i="29"/>
  <c r="BA28" i="29"/>
  <c r="AW24" i="29"/>
  <c r="CR23" i="29"/>
  <c r="AX25" i="29"/>
  <c r="CS24" i="29"/>
  <c r="W24" i="29"/>
  <c r="BQ23" i="29"/>
  <c r="S20" i="29"/>
  <c r="BM19" i="29"/>
  <c r="CU27" i="29"/>
  <c r="AZ28" i="29"/>
  <c r="AC30" i="29"/>
  <c r="BW29" i="29"/>
  <c r="Y27" i="29"/>
  <c r="BS26" i="29"/>
  <c r="AD31" i="29"/>
  <c r="BX30" i="29"/>
  <c r="Z27" i="29"/>
  <c r="BT26" i="29"/>
  <c r="AT21" i="29"/>
  <c r="CO20" i="29"/>
  <c r="BC31" i="29"/>
  <c r="CX30" i="29"/>
  <c r="U22" i="29"/>
  <c r="BO21" i="29"/>
  <c r="AN28" i="29"/>
  <c r="CH27" i="29"/>
  <c r="AJ24" i="29"/>
  <c r="CD23" i="29"/>
  <c r="AO29" i="29"/>
  <c r="CI28" i="29"/>
  <c r="AP30" i="29"/>
  <c r="CJ29" i="29"/>
  <c r="AK25" i="29"/>
  <c r="CE24" i="29"/>
  <c r="AF20" i="29"/>
  <c r="BZ19" i="29"/>
  <c r="AQ31" i="29"/>
  <c r="CK30" i="29"/>
  <c r="AL26" i="29"/>
  <c r="CF25" i="29"/>
  <c r="AH22" i="29"/>
  <c r="CB21" i="29"/>
  <c r="AM28" i="29"/>
  <c r="CG27" i="29"/>
  <c r="AI23" i="29"/>
  <c r="CC22" i="29"/>
  <c r="AG22" i="29"/>
  <c r="CA21" i="29"/>
  <c r="AE20" i="29"/>
  <c r="BY20" i="29" s="1"/>
  <c r="L80" i="29"/>
  <c r="J81" i="29"/>
  <c r="AU23" i="29" l="1"/>
  <c r="CP22" i="29"/>
  <c r="BC32" i="29"/>
  <c r="CX31" i="29"/>
  <c r="Z28" i="29"/>
  <c r="BT27" i="29"/>
  <c r="AD32" i="29"/>
  <c r="BX31" i="29"/>
  <c r="AC31" i="29"/>
  <c r="BW30" i="29"/>
  <c r="S21" i="29"/>
  <c r="BM20" i="29"/>
  <c r="CS25" i="29"/>
  <c r="AX26" i="29"/>
  <c r="BA29" i="29"/>
  <c r="CV28" i="29"/>
  <c r="CT28" i="29"/>
  <c r="AY29" i="29"/>
  <c r="T22" i="29"/>
  <c r="BN21" i="29"/>
  <c r="AB30" i="29"/>
  <c r="BV29" i="29"/>
  <c r="AS22" i="29"/>
  <c r="CN21" i="29"/>
  <c r="X26" i="29"/>
  <c r="BR25" i="29"/>
  <c r="CU28" i="29"/>
  <c r="AZ29" i="29"/>
  <c r="V24" i="29"/>
  <c r="BP23" i="29"/>
  <c r="AV25" i="29"/>
  <c r="CQ24" i="29"/>
  <c r="AW25" i="29"/>
  <c r="CR24" i="29"/>
  <c r="AA29" i="29"/>
  <c r="BU28" i="29"/>
  <c r="U23" i="29"/>
  <c r="BO22" i="29"/>
  <c r="AT22" i="29"/>
  <c r="CO21" i="29"/>
  <c r="Y28" i="29"/>
  <c r="BS27" i="29"/>
  <c r="W25" i="29"/>
  <c r="BQ24" i="29"/>
  <c r="BB30" i="29"/>
  <c r="CW29" i="29"/>
  <c r="BD33" i="29"/>
  <c r="CY32" i="29"/>
  <c r="R20" i="29"/>
  <c r="BL19" i="29"/>
  <c r="AR21" i="29"/>
  <c r="CM20" i="29"/>
  <c r="AP31" i="29"/>
  <c r="CJ30" i="29"/>
  <c r="AJ25" i="29"/>
  <c r="CD24" i="29"/>
  <c r="AH23" i="29"/>
  <c r="CB22" i="29"/>
  <c r="AM29" i="29"/>
  <c r="CG28" i="29"/>
  <c r="AQ32" i="29"/>
  <c r="CK31" i="29"/>
  <c r="AK26" i="29"/>
  <c r="CE25" i="29"/>
  <c r="AO30" i="29"/>
  <c r="CI29" i="29"/>
  <c r="AG23" i="29"/>
  <c r="CA22" i="29"/>
  <c r="AF21" i="29"/>
  <c r="BZ20" i="29"/>
  <c r="AI24" i="29"/>
  <c r="CC23" i="29"/>
  <c r="AL27" i="29"/>
  <c r="CF26" i="29"/>
  <c r="AN29" i="29"/>
  <c r="CH28" i="29"/>
  <c r="AE21" i="29"/>
  <c r="BY21" i="29" s="1"/>
  <c r="L81" i="29"/>
  <c r="J82" i="29"/>
  <c r="R21" i="29" l="1"/>
  <c r="BL20" i="29"/>
  <c r="Y29" i="29"/>
  <c r="BS28" i="29"/>
  <c r="AA30" i="29"/>
  <c r="BU29" i="29"/>
  <c r="CQ25" i="29"/>
  <c r="AV26" i="29"/>
  <c r="AS23" i="29"/>
  <c r="CN22" i="29"/>
  <c r="T23" i="29"/>
  <c r="BN22" i="29"/>
  <c r="BA30" i="29"/>
  <c r="CV29" i="29"/>
  <c r="S22" i="29"/>
  <c r="BM21" i="29"/>
  <c r="AD33" i="29"/>
  <c r="BX32" i="29"/>
  <c r="BC33" i="29"/>
  <c r="CX32" i="29"/>
  <c r="CU29" i="29"/>
  <c r="AZ30" i="29"/>
  <c r="BB31" i="29"/>
  <c r="CW30" i="29"/>
  <c r="U24" i="29"/>
  <c r="BO23" i="29"/>
  <c r="CT29" i="29"/>
  <c r="AY30" i="29"/>
  <c r="CS26" i="29"/>
  <c r="AX27" i="29"/>
  <c r="AR22" i="29"/>
  <c r="CM21" i="29"/>
  <c r="BD34" i="29"/>
  <c r="CY33" i="29"/>
  <c r="W26" i="29"/>
  <c r="BQ25" i="29"/>
  <c r="AT23" i="29"/>
  <c r="CO22" i="29"/>
  <c r="CR25" i="29"/>
  <c r="AW26" i="29"/>
  <c r="V25" i="29"/>
  <c r="BP24" i="29"/>
  <c r="X27" i="29"/>
  <c r="BR26" i="29"/>
  <c r="AB31" i="29"/>
  <c r="BV30" i="29"/>
  <c r="AC32" i="29"/>
  <c r="BW31" i="29"/>
  <c r="Z29" i="29"/>
  <c r="BT28" i="29"/>
  <c r="AU24" i="29"/>
  <c r="CP23" i="29"/>
  <c r="AL28" i="29"/>
  <c r="CF27" i="29"/>
  <c r="AM30" i="29"/>
  <c r="CG29" i="29"/>
  <c r="AG24" i="29"/>
  <c r="CA23" i="29"/>
  <c r="AN30" i="29"/>
  <c r="CH29" i="29"/>
  <c r="AF22" i="29"/>
  <c r="BZ21" i="29"/>
  <c r="AK27" i="29"/>
  <c r="CE26" i="29"/>
  <c r="AJ26" i="29"/>
  <c r="CD25" i="29"/>
  <c r="AI25" i="29"/>
  <c r="CC24" i="29"/>
  <c r="AO31" i="29"/>
  <c r="CI30" i="29"/>
  <c r="AQ33" i="29"/>
  <c r="CK32" i="29"/>
  <c r="AH24" i="29"/>
  <c r="CB23" i="29"/>
  <c r="AP32" i="29"/>
  <c r="CJ31" i="29"/>
  <c r="AE22" i="29"/>
  <c r="BY22" i="29" s="1"/>
  <c r="J83" i="29"/>
  <c r="L82" i="29"/>
  <c r="CR26" i="29" l="1"/>
  <c r="AW27" i="29"/>
  <c r="AY31" i="29"/>
  <c r="CT30" i="29"/>
  <c r="AC33" i="29"/>
  <c r="BW32" i="29"/>
  <c r="W27" i="29"/>
  <c r="BQ26" i="29"/>
  <c r="AR23" i="29"/>
  <c r="CM22" i="29"/>
  <c r="BB32" i="29"/>
  <c r="CW31" i="29"/>
  <c r="BC34" i="29"/>
  <c r="CX33" i="29"/>
  <c r="S23" i="29"/>
  <c r="BM22" i="29"/>
  <c r="T24" i="29"/>
  <c r="BN23" i="29"/>
  <c r="Y30" i="29"/>
  <c r="BS29" i="29"/>
  <c r="CQ26" i="29"/>
  <c r="AV27" i="29"/>
  <c r="AU25" i="29"/>
  <c r="CP24" i="29"/>
  <c r="X28" i="29"/>
  <c r="BR27" i="29"/>
  <c r="CS27" i="29"/>
  <c r="AX28" i="29"/>
  <c r="CU30" i="29"/>
  <c r="AZ31" i="29"/>
  <c r="Z30" i="29"/>
  <c r="BT29" i="29"/>
  <c r="AB32" i="29"/>
  <c r="BV31" i="29"/>
  <c r="V26" i="29"/>
  <c r="BP25" i="29"/>
  <c r="AT24" i="29"/>
  <c r="CO23" i="29"/>
  <c r="BD35" i="29"/>
  <c r="CY34" i="29"/>
  <c r="U25" i="29"/>
  <c r="BO24" i="29"/>
  <c r="AD34" i="29"/>
  <c r="BX33" i="29"/>
  <c r="BA31" i="29"/>
  <c r="CV30" i="29"/>
  <c r="AS24" i="29"/>
  <c r="CN23" i="29"/>
  <c r="AA31" i="29"/>
  <c r="BU30" i="29"/>
  <c r="R22" i="29"/>
  <c r="BL21" i="29"/>
  <c r="AH25" i="29"/>
  <c r="CB24" i="29"/>
  <c r="AN31" i="29"/>
  <c r="CH30" i="29"/>
  <c r="AM31" i="29"/>
  <c r="CG30" i="29"/>
  <c r="AO32" i="29"/>
  <c r="CI31" i="29"/>
  <c r="AJ27" i="29"/>
  <c r="CD26" i="29"/>
  <c r="AF23" i="29"/>
  <c r="BZ22" i="29"/>
  <c r="AP33" i="29"/>
  <c r="CJ32" i="29"/>
  <c r="AG25" i="29"/>
  <c r="CA24" i="29"/>
  <c r="CF28" i="29"/>
  <c r="AL29" i="29"/>
  <c r="AQ34" i="29"/>
  <c r="CK33" i="29"/>
  <c r="AI26" i="29"/>
  <c r="CC25" i="29"/>
  <c r="AK28" i="29"/>
  <c r="CE27" i="29"/>
  <c r="AE23" i="29"/>
  <c r="BY23" i="29" s="1"/>
  <c r="L83" i="29"/>
  <c r="J84" i="29"/>
  <c r="R23" i="29" l="1"/>
  <c r="BL22" i="29"/>
  <c r="AS25" i="29"/>
  <c r="CN24" i="29"/>
  <c r="AD35" i="29"/>
  <c r="BX34" i="29"/>
  <c r="BD36" i="29"/>
  <c r="CY35" i="29"/>
  <c r="V27" i="29"/>
  <c r="BP26" i="29"/>
  <c r="Z31" i="29"/>
  <c r="BT30" i="29"/>
  <c r="CP25" i="29"/>
  <c r="AU26" i="29"/>
  <c r="Y31" i="29"/>
  <c r="BS30" i="29"/>
  <c r="S24" i="29"/>
  <c r="BM23" i="29"/>
  <c r="BB33" i="29"/>
  <c r="CW32" i="29"/>
  <c r="W28" i="29"/>
  <c r="BQ27" i="29"/>
  <c r="AY32" i="29"/>
  <c r="CT31" i="29"/>
  <c r="CS28" i="29"/>
  <c r="AX29" i="29"/>
  <c r="AZ32" i="29"/>
  <c r="CU31" i="29"/>
  <c r="CQ27" i="29"/>
  <c r="AV28" i="29"/>
  <c r="CR27" i="29"/>
  <c r="AW28" i="29"/>
  <c r="AA32" i="29"/>
  <c r="BU31" i="29"/>
  <c r="BA32" i="29"/>
  <c r="CV31" i="29"/>
  <c r="U26" i="29"/>
  <c r="BO25" i="29"/>
  <c r="AT25" i="29"/>
  <c r="CO24" i="29"/>
  <c r="AB33" i="29"/>
  <c r="BV32" i="29"/>
  <c r="X29" i="29"/>
  <c r="BR28" i="29"/>
  <c r="T25" i="29"/>
  <c r="BN24" i="29"/>
  <c r="BC35" i="29"/>
  <c r="CX34" i="29"/>
  <c r="AR24" i="29"/>
  <c r="CM23" i="29"/>
  <c r="AC34" i="29"/>
  <c r="BW33" i="29"/>
  <c r="AK29" i="29"/>
  <c r="CE28" i="29"/>
  <c r="AQ35" i="29"/>
  <c r="CK34" i="29"/>
  <c r="AG26" i="29"/>
  <c r="CA25" i="29"/>
  <c r="AF24" i="29"/>
  <c r="BZ23" i="29"/>
  <c r="AO33" i="29"/>
  <c r="CI32" i="29"/>
  <c r="AN32" i="29"/>
  <c r="CH31" i="29"/>
  <c r="AL30" i="29"/>
  <c r="CF29" i="29"/>
  <c r="AI27" i="29"/>
  <c r="CC26" i="29"/>
  <c r="AP34" i="29"/>
  <c r="CJ33" i="29"/>
  <c r="AJ28" i="29"/>
  <c r="CD27" i="29"/>
  <c r="AM32" i="29"/>
  <c r="CG31" i="29"/>
  <c r="AH26" i="29"/>
  <c r="CB25" i="29"/>
  <c r="AE24" i="29"/>
  <c r="BY24" i="29" s="1"/>
  <c r="J85" i="29"/>
  <c r="L84" i="29"/>
  <c r="BC36" i="29" l="1"/>
  <c r="CX35" i="29"/>
  <c r="CO25" i="29"/>
  <c r="AT26" i="29"/>
  <c r="BA33" i="29"/>
  <c r="CV32" i="29"/>
  <c r="AZ33" i="29"/>
  <c r="CU32" i="29"/>
  <c r="AY33" i="29"/>
  <c r="CT32" i="29"/>
  <c r="BB34" i="29"/>
  <c r="CW33" i="29"/>
  <c r="Y32" i="29"/>
  <c r="BS31" i="29"/>
  <c r="Z32" i="29"/>
  <c r="BT31" i="29"/>
  <c r="BD37" i="29"/>
  <c r="CY36" i="29"/>
  <c r="CN25" i="29"/>
  <c r="AS26" i="29"/>
  <c r="AW29" i="29"/>
  <c r="CR28" i="29"/>
  <c r="AC35" i="29"/>
  <c r="BW34" i="29"/>
  <c r="X30" i="29"/>
  <c r="BR29" i="29"/>
  <c r="CQ28" i="29"/>
  <c r="AV29" i="29"/>
  <c r="AX30" i="29"/>
  <c r="CS29" i="29"/>
  <c r="CP26" i="29"/>
  <c r="AU27" i="29"/>
  <c r="AR25" i="29"/>
  <c r="CM24" i="29"/>
  <c r="T26" i="29"/>
  <c r="BN25" i="29"/>
  <c r="AB34" i="29"/>
  <c r="BV33" i="29"/>
  <c r="U27" i="29"/>
  <c r="BO26" i="29"/>
  <c r="AA33" i="29"/>
  <c r="BU32" i="29"/>
  <c r="W29" i="29"/>
  <c r="BQ28" i="29"/>
  <c r="S25" i="29"/>
  <c r="BM24" i="29"/>
  <c r="V28" i="29"/>
  <c r="BP27" i="29"/>
  <c r="AD36" i="29"/>
  <c r="BX35" i="29"/>
  <c r="R24" i="29"/>
  <c r="BL23" i="29"/>
  <c r="AH27" i="29"/>
  <c r="CB26" i="29"/>
  <c r="AJ29" i="29"/>
  <c r="CD28" i="29"/>
  <c r="CC27" i="29"/>
  <c r="AI28" i="29"/>
  <c r="AN33" i="29"/>
  <c r="CH32" i="29"/>
  <c r="AF25" i="29"/>
  <c r="BZ24" i="29"/>
  <c r="AQ36" i="29"/>
  <c r="CK35" i="29"/>
  <c r="AM33" i="29"/>
  <c r="CG32" i="29"/>
  <c r="AP35" i="29"/>
  <c r="CJ34" i="29"/>
  <c r="AL31" i="29"/>
  <c r="CF30" i="29"/>
  <c r="AO34" i="29"/>
  <c r="CI33" i="29"/>
  <c r="AG27" i="29"/>
  <c r="CA26" i="29"/>
  <c r="AK30" i="29"/>
  <c r="CE29" i="29"/>
  <c r="AE25" i="29"/>
  <c r="BY25" i="29" s="1"/>
  <c r="J86" i="29"/>
  <c r="L85" i="29"/>
  <c r="CQ29" i="29" l="1"/>
  <c r="AV30" i="29"/>
  <c r="CO26" i="29"/>
  <c r="AT27" i="29"/>
  <c r="R25" i="29"/>
  <c r="BL24" i="29"/>
  <c r="W30" i="29"/>
  <c r="BQ29" i="29"/>
  <c r="U28" i="29"/>
  <c r="BO27" i="29"/>
  <c r="T27" i="29"/>
  <c r="BN26" i="29"/>
  <c r="AC36" i="29"/>
  <c r="BW35" i="29"/>
  <c r="Z33" i="29"/>
  <c r="BT32" i="29"/>
  <c r="BB35" i="29"/>
  <c r="CW34" i="29"/>
  <c r="AZ34" i="29"/>
  <c r="CU33" i="29"/>
  <c r="CP27" i="29"/>
  <c r="AU28" i="29"/>
  <c r="CN26" i="29"/>
  <c r="AS27" i="29"/>
  <c r="V29" i="29"/>
  <c r="BP28" i="29"/>
  <c r="AD37" i="29"/>
  <c r="BX36" i="29"/>
  <c r="S26" i="29"/>
  <c r="BM25" i="29"/>
  <c r="AA34" i="29"/>
  <c r="BU33" i="29"/>
  <c r="AB35" i="29"/>
  <c r="BV34" i="29"/>
  <c r="CM25" i="29"/>
  <c r="AR26" i="29"/>
  <c r="AX31" i="29"/>
  <c r="CS30" i="29"/>
  <c r="X31" i="29"/>
  <c r="BR30" i="29"/>
  <c r="AW30" i="29"/>
  <c r="CR29" i="29"/>
  <c r="BD38" i="29"/>
  <c r="CY37" i="29"/>
  <c r="Y33" i="29"/>
  <c r="BS32" i="29"/>
  <c r="AY34" i="29"/>
  <c r="CT33" i="29"/>
  <c r="BA34" i="29"/>
  <c r="CV33" i="29"/>
  <c r="BC37" i="29"/>
  <c r="CX36" i="29"/>
  <c r="AK31" i="29"/>
  <c r="CE30" i="29"/>
  <c r="AO35" i="29"/>
  <c r="CI34" i="29"/>
  <c r="AP36" i="29"/>
  <c r="CJ35" i="29"/>
  <c r="AQ37" i="29"/>
  <c r="CK36" i="29"/>
  <c r="AN34" i="29"/>
  <c r="CH33" i="29"/>
  <c r="AJ30" i="29"/>
  <c r="CD29" i="29"/>
  <c r="AI29" i="29"/>
  <c r="CC28" i="29"/>
  <c r="AG28" i="29"/>
  <c r="CA27" i="29"/>
  <c r="AL32" i="29"/>
  <c r="CF31" i="29"/>
  <c r="AM34" i="29"/>
  <c r="CG33" i="29"/>
  <c r="AF26" i="29"/>
  <c r="BZ25" i="29"/>
  <c r="AH28" i="29"/>
  <c r="CB27" i="29"/>
  <c r="AE26" i="29"/>
  <c r="BY26" i="29" s="1"/>
  <c r="J87" i="29"/>
  <c r="L86" i="29"/>
  <c r="CM26" i="29" l="1"/>
  <c r="AR27" i="29"/>
  <c r="BC38" i="29"/>
  <c r="CX37" i="29"/>
  <c r="AY35" i="29"/>
  <c r="CT34" i="29"/>
  <c r="BD39" i="29"/>
  <c r="CY38" i="29"/>
  <c r="X32" i="29"/>
  <c r="BR31" i="29"/>
  <c r="AA35" i="29"/>
  <c r="BU34" i="29"/>
  <c r="AD38" i="29"/>
  <c r="BX37" i="29"/>
  <c r="AZ35" i="29"/>
  <c r="CU34" i="29"/>
  <c r="Z34" i="29"/>
  <c r="BT33" i="29"/>
  <c r="T28" i="29"/>
  <c r="BN27" i="29"/>
  <c r="W31" i="29"/>
  <c r="BQ30" i="29"/>
  <c r="AS28" i="29"/>
  <c r="CN27" i="29"/>
  <c r="CO27" i="29"/>
  <c r="AT28" i="29"/>
  <c r="CP28" i="29"/>
  <c r="AU29" i="29"/>
  <c r="CQ30" i="29"/>
  <c r="AV31" i="29"/>
  <c r="BA35" i="29"/>
  <c r="CV34" i="29"/>
  <c r="Y34" i="29"/>
  <c r="BS33" i="29"/>
  <c r="AW31" i="29"/>
  <c r="CR30" i="29"/>
  <c r="AX32" i="29"/>
  <c r="CS31" i="29"/>
  <c r="AB36" i="29"/>
  <c r="BV35" i="29"/>
  <c r="S27" i="29"/>
  <c r="BM26" i="29"/>
  <c r="V30" i="29"/>
  <c r="BP29" i="29"/>
  <c r="BB36" i="29"/>
  <c r="CW35" i="29"/>
  <c r="AC37" i="29"/>
  <c r="BW36" i="29"/>
  <c r="U29" i="29"/>
  <c r="BO28" i="29"/>
  <c r="R26" i="29"/>
  <c r="BL25" i="29"/>
  <c r="AH29" i="29"/>
  <c r="CB28" i="29"/>
  <c r="AM35" i="29"/>
  <c r="CG34" i="29"/>
  <c r="AG29" i="29"/>
  <c r="CA28" i="29"/>
  <c r="AJ31" i="29"/>
  <c r="CD30" i="29"/>
  <c r="AQ38" i="29"/>
  <c r="CK37" i="29"/>
  <c r="AO36" i="29"/>
  <c r="CI35" i="29"/>
  <c r="AF27" i="29"/>
  <c r="BZ26" i="29"/>
  <c r="AL33" i="29"/>
  <c r="CF32" i="29"/>
  <c r="AI30" i="29"/>
  <c r="CC29" i="29"/>
  <c r="AN35" i="29"/>
  <c r="CH34" i="29"/>
  <c r="AP37" i="29"/>
  <c r="CJ36" i="29"/>
  <c r="AK32" i="29"/>
  <c r="CE31" i="29"/>
  <c r="AE27" i="29"/>
  <c r="BY27" i="29" s="1"/>
  <c r="J88" i="29"/>
  <c r="L87" i="29"/>
  <c r="CP29" i="29" l="1"/>
  <c r="AU30" i="29"/>
  <c r="R27" i="29"/>
  <c r="BL26" i="29"/>
  <c r="AC38" i="29"/>
  <c r="BW37" i="29"/>
  <c r="V31" i="29"/>
  <c r="BP30" i="29"/>
  <c r="AB37" i="29"/>
  <c r="BV36" i="29"/>
  <c r="AW32" i="29"/>
  <c r="CR31" i="29"/>
  <c r="BA36" i="29"/>
  <c r="CV35" i="29"/>
  <c r="AS29" i="29"/>
  <c r="CN28" i="29"/>
  <c r="T29" i="29"/>
  <c r="BN28" i="29"/>
  <c r="AZ36" i="29"/>
  <c r="CU35" i="29"/>
  <c r="AA36" i="29"/>
  <c r="BU35" i="29"/>
  <c r="CY39" i="29"/>
  <c r="BD40" i="29"/>
  <c r="BC39" i="29"/>
  <c r="CX38" i="29"/>
  <c r="AV32" i="29"/>
  <c r="CQ31" i="29"/>
  <c r="CO28" i="29"/>
  <c r="AT29" i="29"/>
  <c r="AR28" i="29"/>
  <c r="CM27" i="29"/>
  <c r="U30" i="29"/>
  <c r="BO29" i="29"/>
  <c r="BB37" i="29"/>
  <c r="CW36" i="29"/>
  <c r="S28" i="29"/>
  <c r="BM27" i="29"/>
  <c r="AX33" i="29"/>
  <c r="CS32" i="29"/>
  <c r="Y35" i="29"/>
  <c r="BS34" i="29"/>
  <c r="W32" i="29"/>
  <c r="BQ31" i="29"/>
  <c r="Z35" i="29"/>
  <c r="BT34" i="29"/>
  <c r="AD39" i="29"/>
  <c r="BX38" i="29"/>
  <c r="X33" i="29"/>
  <c r="BR32" i="29"/>
  <c r="AY36" i="29"/>
  <c r="CT35" i="29"/>
  <c r="AK33" i="29"/>
  <c r="CE32" i="29"/>
  <c r="AN36" i="29"/>
  <c r="CH35" i="29"/>
  <c r="AL34" i="29"/>
  <c r="CF33" i="29"/>
  <c r="AO37" i="29"/>
  <c r="CI36" i="29"/>
  <c r="AJ32" i="29"/>
  <c r="CD31" i="29"/>
  <c r="AM36" i="29"/>
  <c r="CG35" i="29"/>
  <c r="AP38" i="29"/>
  <c r="CJ37" i="29"/>
  <c r="AI31" i="29"/>
  <c r="CC30" i="29"/>
  <c r="AF28" i="29"/>
  <c r="BZ27" i="29"/>
  <c r="AQ39" i="29"/>
  <c r="CK38" i="29"/>
  <c r="AG30" i="29"/>
  <c r="CA29" i="29"/>
  <c r="AH30" i="29"/>
  <c r="CB29" i="29"/>
  <c r="AE28" i="29"/>
  <c r="BY28" i="29" s="1"/>
  <c r="L88" i="29"/>
  <c r="J89" i="29"/>
  <c r="CY40" i="29" l="1"/>
  <c r="BD41" i="29"/>
  <c r="AY37" i="29"/>
  <c r="CT36" i="29"/>
  <c r="AD40" i="29"/>
  <c r="BX39" i="29"/>
  <c r="W33" i="29"/>
  <c r="BQ32" i="29"/>
  <c r="AX34" i="29"/>
  <c r="CS33" i="29"/>
  <c r="BB38" i="29"/>
  <c r="CW37" i="29"/>
  <c r="AR29" i="29"/>
  <c r="CM28" i="29"/>
  <c r="AV33" i="29"/>
  <c r="CQ32" i="29"/>
  <c r="AZ37" i="29"/>
  <c r="CU36" i="29"/>
  <c r="AS30" i="29"/>
  <c r="CN29" i="29"/>
  <c r="AW33" i="29"/>
  <c r="CR32" i="29"/>
  <c r="V32" i="29"/>
  <c r="BP31" i="29"/>
  <c r="R28" i="29"/>
  <c r="BL27" i="29"/>
  <c r="AT30" i="29"/>
  <c r="CO29" i="29"/>
  <c r="AU31" i="29"/>
  <c r="CP30" i="29"/>
  <c r="X34" i="29"/>
  <c r="BR33" i="29"/>
  <c r="Z36" i="29"/>
  <c r="BT35" i="29"/>
  <c r="Y36" i="29"/>
  <c r="BS35" i="29"/>
  <c r="S29" i="29"/>
  <c r="BM28" i="29"/>
  <c r="U31" i="29"/>
  <c r="BO30" i="29"/>
  <c r="CX39" i="29"/>
  <c r="BC40" i="29"/>
  <c r="AA37" i="29"/>
  <c r="BU36" i="29"/>
  <c r="T30" i="29"/>
  <c r="BN29" i="29"/>
  <c r="BA37" i="29"/>
  <c r="CV36" i="29"/>
  <c r="AB38" i="29"/>
  <c r="BV37" i="29"/>
  <c r="AC39" i="29"/>
  <c r="BW38" i="29"/>
  <c r="AH31" i="29"/>
  <c r="CB30" i="29"/>
  <c r="AQ40" i="29"/>
  <c r="CK39" i="29"/>
  <c r="AI32" i="29"/>
  <c r="CC31" i="29"/>
  <c r="AM37" i="29"/>
  <c r="CG36" i="29"/>
  <c r="AO38" i="29"/>
  <c r="CI37" i="29"/>
  <c r="AN37" i="29"/>
  <c r="CH36" i="29"/>
  <c r="AG31" i="29"/>
  <c r="CA30" i="29"/>
  <c r="AF29" i="29"/>
  <c r="BZ28" i="29"/>
  <c r="AP39" i="29"/>
  <c r="CJ38" i="29"/>
  <c r="AJ33" i="29"/>
  <c r="CD32" i="29"/>
  <c r="AL35" i="29"/>
  <c r="CF34" i="29"/>
  <c r="AK34" i="29"/>
  <c r="CE33" i="29"/>
  <c r="AE29" i="29"/>
  <c r="BY29" i="29" s="1"/>
  <c r="J90" i="29"/>
  <c r="L89" i="29"/>
  <c r="AC40" i="29" l="1"/>
  <c r="BW39" i="29"/>
  <c r="BA38" i="29"/>
  <c r="CV37" i="29"/>
  <c r="AA38" i="29"/>
  <c r="BU37" i="29"/>
  <c r="U32" i="29"/>
  <c r="BO31" i="29"/>
  <c r="Y37" i="29"/>
  <c r="BS36" i="29"/>
  <c r="X35" i="29"/>
  <c r="BR34" i="29"/>
  <c r="AT31" i="29"/>
  <c r="CO30" i="29"/>
  <c r="V33" i="29"/>
  <c r="BP32" i="29"/>
  <c r="AS31" i="29"/>
  <c r="CN30" i="29"/>
  <c r="AV34" i="29"/>
  <c r="CQ33" i="29"/>
  <c r="BB39" i="29"/>
  <c r="CW38" i="29"/>
  <c r="W34" i="29"/>
  <c r="BQ33" i="29"/>
  <c r="AY38" i="29"/>
  <c r="CT37" i="29"/>
  <c r="BC41" i="29"/>
  <c r="CX40" i="29"/>
  <c r="BD42" i="29"/>
  <c r="CY41" i="29"/>
  <c r="AB39" i="29"/>
  <c r="BV38" i="29"/>
  <c r="T31" i="29"/>
  <c r="BN30" i="29"/>
  <c r="S30" i="29"/>
  <c r="BM29" i="29"/>
  <c r="Z37" i="29"/>
  <c r="BT36" i="29"/>
  <c r="AU32" i="29"/>
  <c r="CP31" i="29"/>
  <c r="R29" i="29"/>
  <c r="BL28" i="29"/>
  <c r="AW34" i="29"/>
  <c r="CR33" i="29"/>
  <c r="AZ38" i="29"/>
  <c r="CU37" i="29"/>
  <c r="AR30" i="29"/>
  <c r="CM29" i="29"/>
  <c r="AX35" i="29"/>
  <c r="CS34" i="29"/>
  <c r="AD41" i="29"/>
  <c r="BX40" i="29"/>
  <c r="AK35" i="29"/>
  <c r="CE34" i="29"/>
  <c r="AJ34" i="29"/>
  <c r="CD33" i="29"/>
  <c r="AF30" i="29"/>
  <c r="BZ29" i="29"/>
  <c r="AN38" i="29"/>
  <c r="CH37" i="29"/>
  <c r="AM38" i="29"/>
  <c r="CG37" i="29"/>
  <c r="AQ41" i="29"/>
  <c r="CK40" i="29"/>
  <c r="AL36" i="29"/>
  <c r="CF35" i="29"/>
  <c r="AP40" i="29"/>
  <c r="CJ39" i="29"/>
  <c r="AG32" i="29"/>
  <c r="CA31" i="29"/>
  <c r="AO39" i="29"/>
  <c r="CI38" i="29"/>
  <c r="AI33" i="29"/>
  <c r="CC32" i="29"/>
  <c r="CB31" i="29"/>
  <c r="AH32" i="29"/>
  <c r="AE30" i="29"/>
  <c r="BY30" i="29" s="1"/>
  <c r="L90" i="29"/>
  <c r="J91" i="29"/>
  <c r="AD42" i="29" l="1"/>
  <c r="BX41" i="29"/>
  <c r="AR31" i="29"/>
  <c r="CM30" i="29"/>
  <c r="AW35" i="29"/>
  <c r="CR34" i="29"/>
  <c r="AU33" i="29"/>
  <c r="CP32" i="29"/>
  <c r="S31" i="29"/>
  <c r="BM30" i="29"/>
  <c r="AB40" i="29"/>
  <c r="BV39" i="29"/>
  <c r="BC42" i="29"/>
  <c r="CX41" i="29"/>
  <c r="W35" i="29"/>
  <c r="BQ34" i="29"/>
  <c r="AV35" i="29"/>
  <c r="CQ34" i="29"/>
  <c r="V34" i="29"/>
  <c r="BP33" i="29"/>
  <c r="X36" i="29"/>
  <c r="BR35" i="29"/>
  <c r="U33" i="29"/>
  <c r="BO32" i="29"/>
  <c r="BA39" i="29"/>
  <c r="CV38" i="29"/>
  <c r="AX36" i="29"/>
  <c r="CS35" i="29"/>
  <c r="AZ39" i="29"/>
  <c r="CU38" i="29"/>
  <c r="R30" i="29"/>
  <c r="BL29" i="29"/>
  <c r="Z38" i="29"/>
  <c r="BT37" i="29"/>
  <c r="T32" i="29"/>
  <c r="BN31" i="29"/>
  <c r="BD43" i="29"/>
  <c r="CY42" i="29"/>
  <c r="AY39" i="29"/>
  <c r="CT38" i="29"/>
  <c r="CW39" i="29"/>
  <c r="BB40" i="29"/>
  <c r="AS32" i="29"/>
  <c r="CN31" i="29"/>
  <c r="AT32" i="29"/>
  <c r="CO31" i="29"/>
  <c r="Y38" i="29"/>
  <c r="BS37" i="29"/>
  <c r="AA39" i="29"/>
  <c r="BU38" i="29"/>
  <c r="AC41" i="29"/>
  <c r="BW40" i="29"/>
  <c r="AH33" i="29"/>
  <c r="CB32" i="29"/>
  <c r="AO40" i="29"/>
  <c r="CI39" i="29"/>
  <c r="AP41" i="29"/>
  <c r="CJ40" i="29"/>
  <c r="AQ42" i="29"/>
  <c r="CK41" i="29"/>
  <c r="AN39" i="29"/>
  <c r="CH38" i="29"/>
  <c r="AJ35" i="29"/>
  <c r="CD34" i="29"/>
  <c r="AI34" i="29"/>
  <c r="CC33" i="29"/>
  <c r="AG33" i="29"/>
  <c r="CA32" i="29"/>
  <c r="AL37" i="29"/>
  <c r="CF36" i="29"/>
  <c r="AM39" i="29"/>
  <c r="CG38" i="29"/>
  <c r="AF31" i="29"/>
  <c r="BZ30" i="29"/>
  <c r="AK36" i="29"/>
  <c r="CE35" i="29"/>
  <c r="AE31" i="29"/>
  <c r="BY31" i="29" s="1"/>
  <c r="J92" i="29"/>
  <c r="L91" i="29"/>
  <c r="AC42" i="29" l="1"/>
  <c r="BW41" i="29"/>
  <c r="Y39" i="29"/>
  <c r="BS38" i="29"/>
  <c r="AS33" i="29"/>
  <c r="CN32" i="29"/>
  <c r="CT39" i="29"/>
  <c r="AY40" i="29"/>
  <c r="T33" i="29"/>
  <c r="BN32" i="29"/>
  <c r="R31" i="29"/>
  <c r="BL30" i="29"/>
  <c r="AX37" i="29"/>
  <c r="CS36" i="29"/>
  <c r="U34" i="29"/>
  <c r="BO33" i="29"/>
  <c r="V35" i="29"/>
  <c r="BP34" i="29"/>
  <c r="W36" i="29"/>
  <c r="BQ35" i="29"/>
  <c r="AB41" i="29"/>
  <c r="BV40" i="29"/>
  <c r="AU34" i="29"/>
  <c r="CP33" i="29"/>
  <c r="AR32" i="29"/>
  <c r="CM31" i="29"/>
  <c r="BB41" i="29"/>
  <c r="CW40" i="29"/>
  <c r="AA40" i="29"/>
  <c r="BU39" i="29"/>
  <c r="AT33" i="29"/>
  <c r="CO32" i="29"/>
  <c r="BD44" i="29"/>
  <c r="CY43" i="29"/>
  <c r="Z39" i="29"/>
  <c r="BT38" i="29"/>
  <c r="CU39" i="29"/>
  <c r="AZ40" i="29"/>
  <c r="CV39" i="29"/>
  <c r="BA40" i="29"/>
  <c r="X37" i="29"/>
  <c r="BR36" i="29"/>
  <c r="AV36" i="29"/>
  <c r="CQ35" i="29"/>
  <c r="BC43" i="29"/>
  <c r="CX42" i="29"/>
  <c r="S32" i="29"/>
  <c r="BM31" i="29"/>
  <c r="AW36" i="29"/>
  <c r="CR35" i="29"/>
  <c r="AD43" i="29"/>
  <c r="BX42" i="29"/>
  <c r="AK37" i="29"/>
  <c r="CE36" i="29"/>
  <c r="AM40" i="29"/>
  <c r="CG39" i="29"/>
  <c r="AG34" i="29"/>
  <c r="CA33" i="29"/>
  <c r="AJ36" i="29"/>
  <c r="CD35" i="29"/>
  <c r="AQ43" i="29"/>
  <c r="CK42" i="29"/>
  <c r="AO41" i="29"/>
  <c r="CI40" i="29"/>
  <c r="AF32" i="29"/>
  <c r="BZ31" i="29"/>
  <c r="AL38" i="29"/>
  <c r="CF37" i="29"/>
  <c r="AI35" i="29"/>
  <c r="CC34" i="29"/>
  <c r="AN40" i="29"/>
  <c r="CH39" i="29"/>
  <c r="AP42" i="29"/>
  <c r="CJ41" i="29"/>
  <c r="AH34" i="29"/>
  <c r="CB33" i="29"/>
  <c r="AE32" i="29"/>
  <c r="BY32" i="29" s="1"/>
  <c r="J93" i="29"/>
  <c r="L92" i="29"/>
  <c r="AY41" i="29" l="1"/>
  <c r="CT40" i="29"/>
  <c r="AD44" i="29"/>
  <c r="BX43" i="29"/>
  <c r="AV37" i="29"/>
  <c r="CQ36" i="29"/>
  <c r="Z40" i="29"/>
  <c r="BT39" i="29"/>
  <c r="AT34" i="29"/>
  <c r="CO33" i="29"/>
  <c r="BB42" i="29"/>
  <c r="CW41" i="29"/>
  <c r="AU35" i="29"/>
  <c r="CP34" i="29"/>
  <c r="W37" i="29"/>
  <c r="BQ36" i="29"/>
  <c r="U35" i="29"/>
  <c r="BO34" i="29"/>
  <c r="R32" i="29"/>
  <c r="BL31" i="29"/>
  <c r="Y40" i="29"/>
  <c r="BS39" i="29"/>
  <c r="BA41" i="29"/>
  <c r="CV40" i="29"/>
  <c r="S33" i="29"/>
  <c r="BM32" i="29"/>
  <c r="AZ41" i="29"/>
  <c r="CU40" i="29"/>
  <c r="AW37" i="29"/>
  <c r="CR36" i="29"/>
  <c r="BC44" i="29"/>
  <c r="CX43" i="29"/>
  <c r="X38" i="29"/>
  <c r="BR37" i="29"/>
  <c r="BD45" i="29"/>
  <c r="CY44" i="29"/>
  <c r="AA41" i="29"/>
  <c r="BU40" i="29"/>
  <c r="AR33" i="29"/>
  <c r="CM32" i="29"/>
  <c r="AB42" i="29"/>
  <c r="BV41" i="29"/>
  <c r="V36" i="29"/>
  <c r="BP35" i="29"/>
  <c r="AX38" i="29"/>
  <c r="CS37" i="29"/>
  <c r="T34" i="29"/>
  <c r="BN33" i="29"/>
  <c r="AS34" i="29"/>
  <c r="CN33" i="29"/>
  <c r="AC43" i="29"/>
  <c r="BW42" i="29"/>
  <c r="AH35" i="29"/>
  <c r="CB34" i="29"/>
  <c r="AN41" i="29"/>
  <c r="CH40" i="29"/>
  <c r="AL39" i="29"/>
  <c r="CF38" i="29"/>
  <c r="AO42" i="29"/>
  <c r="CI41" i="29"/>
  <c r="AJ37" i="29"/>
  <c r="CD36" i="29"/>
  <c r="AM41" i="29"/>
  <c r="CG40" i="29"/>
  <c r="AP43" i="29"/>
  <c r="CJ42" i="29"/>
  <c r="AI36" i="29"/>
  <c r="CC35" i="29"/>
  <c r="AF33" i="29"/>
  <c r="BZ32" i="29"/>
  <c r="AQ44" i="29"/>
  <c r="CK43" i="29"/>
  <c r="AG35" i="29"/>
  <c r="CA34" i="29"/>
  <c r="AK38" i="29"/>
  <c r="CE37" i="29"/>
  <c r="AE33" i="29"/>
  <c r="BY33" i="29" s="1"/>
  <c r="J94" i="29"/>
  <c r="L93" i="29"/>
  <c r="AC44" i="29" l="1"/>
  <c r="BW43" i="29"/>
  <c r="T35" i="29"/>
  <c r="BN34" i="29"/>
  <c r="V37" i="29"/>
  <c r="BP36" i="29"/>
  <c r="AR34" i="29"/>
  <c r="CM33" i="29"/>
  <c r="BD46" i="29"/>
  <c r="CY45" i="29"/>
  <c r="BC45" i="29"/>
  <c r="CX44" i="29"/>
  <c r="AZ42" i="29"/>
  <c r="CU41" i="29"/>
  <c r="BA42" i="29"/>
  <c r="CV41" i="29"/>
  <c r="R33" i="29"/>
  <c r="BL32" i="29"/>
  <c r="W38" i="29"/>
  <c r="BQ37" i="29"/>
  <c r="BB43" i="29"/>
  <c r="CW42" i="29"/>
  <c r="Z41" i="29"/>
  <c r="BT40" i="29"/>
  <c r="AD45" i="29"/>
  <c r="BX44" i="29"/>
  <c r="AS35" i="29"/>
  <c r="CN34" i="29"/>
  <c r="AX39" i="29"/>
  <c r="CS38" i="29"/>
  <c r="AB43" i="29"/>
  <c r="BV42" i="29"/>
  <c r="AA42" i="29"/>
  <c r="BU41" i="29"/>
  <c r="X39" i="29"/>
  <c r="BR38" i="29"/>
  <c r="AW38" i="29"/>
  <c r="CR37" i="29"/>
  <c r="S34" i="29"/>
  <c r="BM33" i="29"/>
  <c r="Y41" i="29"/>
  <c r="BS40" i="29"/>
  <c r="U36" i="29"/>
  <c r="BO35" i="29"/>
  <c r="AU36" i="29"/>
  <c r="CP35" i="29"/>
  <c r="AT35" i="29"/>
  <c r="CO34" i="29"/>
  <c r="AV38" i="29"/>
  <c r="CQ37" i="29"/>
  <c r="AY42" i="29"/>
  <c r="CT41" i="29"/>
  <c r="AK39" i="29"/>
  <c r="CE38" i="29"/>
  <c r="AQ45" i="29"/>
  <c r="CK44" i="29"/>
  <c r="AI37" i="29"/>
  <c r="CC36" i="29"/>
  <c r="AM42" i="29"/>
  <c r="CG41" i="29"/>
  <c r="AO43" i="29"/>
  <c r="CI42" i="29"/>
  <c r="AN42" i="29"/>
  <c r="CH41" i="29"/>
  <c r="AG36" i="29"/>
  <c r="CA35" i="29"/>
  <c r="AF34" i="29"/>
  <c r="BZ33" i="29"/>
  <c r="AP44" i="29"/>
  <c r="CJ43" i="29"/>
  <c r="AJ38" i="29"/>
  <c r="CD37" i="29"/>
  <c r="AL40" i="29"/>
  <c r="CF39" i="29"/>
  <c r="AH36" i="29"/>
  <c r="CB35" i="29"/>
  <c r="AE34" i="29"/>
  <c r="BY34" i="29" s="1"/>
  <c r="J95" i="29"/>
  <c r="L94" i="29"/>
  <c r="AT36" i="29" l="1"/>
  <c r="CO35" i="29"/>
  <c r="U37" i="29"/>
  <c r="BO36" i="29"/>
  <c r="X40" i="29"/>
  <c r="BR39" i="29"/>
  <c r="AB44" i="29"/>
  <c r="BV43" i="29"/>
  <c r="AS36" i="29"/>
  <c r="CN35" i="29"/>
  <c r="Z42" i="29"/>
  <c r="BT41" i="29"/>
  <c r="W39" i="29"/>
  <c r="BQ38" i="29"/>
  <c r="BA43" i="29"/>
  <c r="CV42" i="29"/>
  <c r="BC46" i="29"/>
  <c r="CX45" i="29"/>
  <c r="AR35" i="29"/>
  <c r="CM34" i="29"/>
  <c r="T36" i="29"/>
  <c r="BN35" i="29"/>
  <c r="AY43" i="29"/>
  <c r="CT42" i="29"/>
  <c r="S35" i="29"/>
  <c r="BM34" i="29"/>
  <c r="AV39" i="29"/>
  <c r="CQ38" i="29"/>
  <c r="AU37" i="29"/>
  <c r="CP36" i="29"/>
  <c r="Y42" i="29"/>
  <c r="BS41" i="29"/>
  <c r="AW39" i="29"/>
  <c r="CR38" i="29"/>
  <c r="AA43" i="29"/>
  <c r="BU42" i="29"/>
  <c r="CS39" i="29"/>
  <c r="AX40" i="29"/>
  <c r="AD46" i="29"/>
  <c r="BX45" i="29"/>
  <c r="BB44" i="29"/>
  <c r="CW43" i="29"/>
  <c r="R34" i="29"/>
  <c r="BL33" i="29"/>
  <c r="AZ43" i="29"/>
  <c r="CU42" i="29"/>
  <c r="CY46" i="29"/>
  <c r="BD47" i="29"/>
  <c r="V38" i="29"/>
  <c r="BP37" i="29"/>
  <c r="AC45" i="29"/>
  <c r="BW44" i="29"/>
  <c r="AH37" i="29"/>
  <c r="CB36" i="29"/>
  <c r="AJ39" i="29"/>
  <c r="CD38" i="29"/>
  <c r="AF35" i="29"/>
  <c r="BZ34" i="29"/>
  <c r="AN43" i="29"/>
  <c r="CH42" i="29"/>
  <c r="AM43" i="29"/>
  <c r="CG42" i="29"/>
  <c r="AQ46" i="29"/>
  <c r="CK45" i="29"/>
  <c r="AL41" i="29"/>
  <c r="CF40" i="29"/>
  <c r="AP45" i="29"/>
  <c r="CJ44" i="29"/>
  <c r="AG37" i="29"/>
  <c r="CA36" i="29"/>
  <c r="AO44" i="29"/>
  <c r="CI43" i="29"/>
  <c r="AI38" i="29"/>
  <c r="CC37" i="29"/>
  <c r="AK40" i="29"/>
  <c r="CE39" i="29"/>
  <c r="AE35" i="29"/>
  <c r="BY35" i="29" s="1"/>
  <c r="J96" i="29"/>
  <c r="L95" i="29"/>
  <c r="CY47" i="29" l="1"/>
  <c r="BD48" i="29"/>
  <c r="AC46" i="29"/>
  <c r="BW45" i="29"/>
  <c r="R35" i="29"/>
  <c r="BL34" i="29"/>
  <c r="AD47" i="29"/>
  <c r="BX46" i="29"/>
  <c r="AA44" i="29"/>
  <c r="BU43" i="29"/>
  <c r="Y43" i="29"/>
  <c r="BS42" i="29"/>
  <c r="CQ39" i="29"/>
  <c r="AV40" i="29"/>
  <c r="AY44" i="29"/>
  <c r="CT43" i="29"/>
  <c r="AR36" i="29"/>
  <c r="CM35" i="29"/>
  <c r="BA44" i="29"/>
  <c r="CV43" i="29"/>
  <c r="Z43" i="29"/>
  <c r="BT42" i="29"/>
  <c r="AB45" i="29"/>
  <c r="BV44" i="29"/>
  <c r="U38" i="29"/>
  <c r="BO37" i="29"/>
  <c r="AX41" i="29"/>
  <c r="CS40" i="29"/>
  <c r="V39" i="29"/>
  <c r="BP38" i="29"/>
  <c r="AZ44" i="29"/>
  <c r="CU43" i="29"/>
  <c r="BB45" i="29"/>
  <c r="CW44" i="29"/>
  <c r="CR39" i="29"/>
  <c r="AW40" i="29"/>
  <c r="AU38" i="29"/>
  <c r="CP37" i="29"/>
  <c r="S36" i="29"/>
  <c r="BM35" i="29"/>
  <c r="T37" i="29"/>
  <c r="BN36" i="29"/>
  <c r="CX46" i="29"/>
  <c r="BC47" i="29"/>
  <c r="W40" i="29"/>
  <c r="BQ39" i="29"/>
  <c r="AS37" i="29"/>
  <c r="CN36" i="29"/>
  <c r="X41" i="29"/>
  <c r="BR40" i="29"/>
  <c r="AT37" i="29"/>
  <c r="CO36" i="29"/>
  <c r="AK41" i="29"/>
  <c r="CE40" i="29"/>
  <c r="AO45" i="29"/>
  <c r="CI44" i="29"/>
  <c r="AP46" i="29"/>
  <c r="CJ45" i="29"/>
  <c r="AQ47" i="29"/>
  <c r="CK46" i="29"/>
  <c r="AN44" i="29"/>
  <c r="CH43" i="29"/>
  <c r="AJ40" i="29"/>
  <c r="CD39" i="29"/>
  <c r="AI39" i="29"/>
  <c r="CC38" i="29"/>
  <c r="AG38" i="29"/>
  <c r="CA37" i="29"/>
  <c r="AL42" i="29"/>
  <c r="CF41" i="29"/>
  <c r="AM44" i="29"/>
  <c r="CG43" i="29"/>
  <c r="AF36" i="29"/>
  <c r="BZ35" i="29"/>
  <c r="AH38" i="29"/>
  <c r="CB37" i="29"/>
  <c r="AE36" i="29"/>
  <c r="BY36" i="29" s="1"/>
  <c r="J97" i="29"/>
  <c r="L96" i="29"/>
  <c r="CX47" i="29" l="1"/>
  <c r="BC48" i="29"/>
  <c r="AT38" i="29"/>
  <c r="CO37" i="29"/>
  <c r="AS38" i="29"/>
  <c r="CN37" i="29"/>
  <c r="S37" i="29"/>
  <c r="BM36" i="29"/>
  <c r="AZ45" i="29"/>
  <c r="CU44" i="29"/>
  <c r="AX42" i="29"/>
  <c r="CS41" i="29"/>
  <c r="AB46" i="29"/>
  <c r="BV45" i="29"/>
  <c r="BA45" i="29"/>
  <c r="CV44" i="29"/>
  <c r="AY45" i="29"/>
  <c r="CT44" i="29"/>
  <c r="Y44" i="29"/>
  <c r="BS43" i="29"/>
  <c r="AD48" i="29"/>
  <c r="BX47" i="29"/>
  <c r="AC47" i="29"/>
  <c r="BW46" i="29"/>
  <c r="AV41" i="29"/>
  <c r="CQ40" i="29"/>
  <c r="BD49" i="29"/>
  <c r="CY48" i="29"/>
  <c r="AW41" i="29"/>
  <c r="CR40" i="29"/>
  <c r="X42" i="29"/>
  <c r="BR41" i="29"/>
  <c r="W41" i="29"/>
  <c r="BQ40" i="29"/>
  <c r="T38" i="29"/>
  <c r="BN37" i="29"/>
  <c r="AU39" i="29"/>
  <c r="CP38" i="29"/>
  <c r="BB46" i="29"/>
  <c r="CW45" i="29"/>
  <c r="V40" i="29"/>
  <c r="BP39" i="29"/>
  <c r="U39" i="29"/>
  <c r="BO38" i="29"/>
  <c r="Z44" i="29"/>
  <c r="BT43" i="29"/>
  <c r="AR37" i="29"/>
  <c r="CM36" i="29"/>
  <c r="AA45" i="29"/>
  <c r="BU44" i="29"/>
  <c r="R36" i="29"/>
  <c r="BL35" i="29"/>
  <c r="AH39" i="29"/>
  <c r="CB38" i="29"/>
  <c r="AM45" i="29"/>
  <c r="CG44" i="29"/>
  <c r="AG39" i="29"/>
  <c r="CA38" i="29"/>
  <c r="AJ41" i="29"/>
  <c r="CD40" i="29"/>
  <c r="AQ48" i="29"/>
  <c r="CK47" i="29"/>
  <c r="AO46" i="29"/>
  <c r="CI45" i="29"/>
  <c r="AF37" i="29"/>
  <c r="BZ36" i="29"/>
  <c r="AL43" i="29"/>
  <c r="CF42" i="29"/>
  <c r="AI40" i="29"/>
  <c r="CC39" i="29"/>
  <c r="AN45" i="29"/>
  <c r="CH44" i="29"/>
  <c r="AP47" i="29"/>
  <c r="CJ46" i="29"/>
  <c r="AK42" i="29"/>
  <c r="CE41" i="29"/>
  <c r="AE37" i="29"/>
  <c r="BY37" i="29" s="1"/>
  <c r="J98" i="29"/>
  <c r="L97" i="29"/>
  <c r="R37" i="29" l="1"/>
  <c r="BL36" i="29"/>
  <c r="AR38" i="29"/>
  <c r="CM37" i="29"/>
  <c r="U40" i="29"/>
  <c r="BO39" i="29"/>
  <c r="CW46" i="29"/>
  <c r="BB47" i="29"/>
  <c r="T39" i="29"/>
  <c r="BN38" i="29"/>
  <c r="X43" i="29"/>
  <c r="BR42" i="29"/>
  <c r="BD50" i="29"/>
  <c r="CY49" i="29"/>
  <c r="AC48" i="29"/>
  <c r="BW47" i="29"/>
  <c r="Y45" i="29"/>
  <c r="BS44" i="29"/>
  <c r="BA46" i="29"/>
  <c r="CV45" i="29"/>
  <c r="AX43" i="29"/>
  <c r="CS42" i="29"/>
  <c r="S38" i="29"/>
  <c r="BM37" i="29"/>
  <c r="AT39" i="29"/>
  <c r="CO38" i="29"/>
  <c r="BC49" i="29"/>
  <c r="CX48" i="29"/>
  <c r="AA46" i="29"/>
  <c r="BU45" i="29"/>
  <c r="Z45" i="29"/>
  <c r="BT44" i="29"/>
  <c r="V41" i="29"/>
  <c r="BP40" i="29"/>
  <c r="CP39" i="29"/>
  <c r="AU40" i="29"/>
  <c r="W42" i="29"/>
  <c r="BQ41" i="29"/>
  <c r="AW42" i="29"/>
  <c r="CR41" i="29"/>
  <c r="AV42" i="29"/>
  <c r="CQ41" i="29"/>
  <c r="AD49" i="29"/>
  <c r="BX48" i="29"/>
  <c r="CT45" i="29"/>
  <c r="CT51" i="29" s="1"/>
  <c r="CT53" i="29" s="1"/>
  <c r="AY51" i="29"/>
  <c r="AY53" i="29" s="1"/>
  <c r="AB47" i="29"/>
  <c r="BV46" i="29"/>
  <c r="AZ46" i="29"/>
  <c r="CU45" i="29"/>
  <c r="AS39" i="29"/>
  <c r="CN38" i="29"/>
  <c r="AK43" i="29"/>
  <c r="CE42" i="29"/>
  <c r="AN46" i="29"/>
  <c r="CH45" i="29"/>
  <c r="AL44" i="29"/>
  <c r="CF43" i="29"/>
  <c r="AO47" i="29"/>
  <c r="CI46" i="29"/>
  <c r="AJ42" i="29"/>
  <c r="CD41" i="29"/>
  <c r="AM46" i="29"/>
  <c r="CG45" i="29"/>
  <c r="AP48" i="29"/>
  <c r="CJ47" i="29"/>
  <c r="AI41" i="29"/>
  <c r="CC40" i="29"/>
  <c r="AF38" i="29"/>
  <c r="BZ37" i="29"/>
  <c r="AQ49" i="29"/>
  <c r="CK48" i="29"/>
  <c r="AG40" i="29"/>
  <c r="CA39" i="29"/>
  <c r="AH40" i="29"/>
  <c r="CB39" i="29"/>
  <c r="AE38" i="29"/>
  <c r="BY38" i="29" s="1"/>
  <c r="BY51" i="29" s="1"/>
  <c r="BY53" i="29" s="1"/>
  <c r="J99" i="29"/>
  <c r="L98" i="29"/>
  <c r="AU41" i="29" l="1"/>
  <c r="CP40" i="29"/>
  <c r="CW47" i="29"/>
  <c r="BB48" i="29"/>
  <c r="CN39" i="29"/>
  <c r="CN51" i="29" s="1"/>
  <c r="CN53" i="29" s="1"/>
  <c r="AS51" i="29"/>
  <c r="AS53" i="29" s="1"/>
  <c r="AB48" i="29"/>
  <c r="BV47" i="29"/>
  <c r="AD50" i="29"/>
  <c r="BX49" i="29"/>
  <c r="AW43" i="29"/>
  <c r="CR42" i="29"/>
  <c r="Z46" i="29"/>
  <c r="BT45" i="29"/>
  <c r="CX49" i="29"/>
  <c r="CX51" i="29" s="1"/>
  <c r="CX53" i="29" s="1"/>
  <c r="BC51" i="29"/>
  <c r="BC53" i="29" s="1"/>
  <c r="S39" i="29"/>
  <c r="BM38" i="29"/>
  <c r="CV46" i="29"/>
  <c r="BA47" i="29"/>
  <c r="AC49" i="29"/>
  <c r="BW48" i="29"/>
  <c r="X44" i="29"/>
  <c r="BR43" i="29"/>
  <c r="CM38" i="29"/>
  <c r="CM51" i="29" s="1"/>
  <c r="CM53" i="29" s="1"/>
  <c r="AR51" i="29"/>
  <c r="AR53" i="29" s="1"/>
  <c r="CU46" i="29"/>
  <c r="CU51" i="29" s="1"/>
  <c r="CU53" i="29" s="1"/>
  <c r="AZ51" i="29"/>
  <c r="AZ53" i="29" s="1"/>
  <c r="CQ42" i="29"/>
  <c r="CQ51" i="29" s="1"/>
  <c r="CQ53" i="29" s="1"/>
  <c r="AV51" i="29"/>
  <c r="AV53" i="29" s="1"/>
  <c r="W43" i="29"/>
  <c r="BQ42" i="29"/>
  <c r="V42" i="29"/>
  <c r="BP41" i="29"/>
  <c r="AA47" i="29"/>
  <c r="BU46" i="29"/>
  <c r="CO39" i="29"/>
  <c r="AT40" i="29"/>
  <c r="AX44" i="29"/>
  <c r="CS43" i="29"/>
  <c r="BS45" i="29"/>
  <c r="BS51" i="29" s="1"/>
  <c r="BS53" i="29" s="1"/>
  <c r="Y51" i="29"/>
  <c r="Y53" i="29" s="1"/>
  <c r="CY50" i="29"/>
  <c r="CY51" i="29" s="1"/>
  <c r="CY53" i="29" s="1"/>
  <c r="BD51" i="29"/>
  <c r="BD53" i="29" s="1"/>
  <c r="T40" i="29"/>
  <c r="BN39" i="29"/>
  <c r="U41" i="29"/>
  <c r="BO40" i="29"/>
  <c r="R38" i="29"/>
  <c r="BL37" i="29"/>
  <c r="AH41" i="29"/>
  <c r="CB40" i="29"/>
  <c r="AQ50" i="29"/>
  <c r="CK49" i="29"/>
  <c r="AI42" i="29"/>
  <c r="CC41" i="29"/>
  <c r="CG46" i="29"/>
  <c r="CG51" i="29" s="1"/>
  <c r="CG53" i="29" s="1"/>
  <c r="N28" i="40" s="1"/>
  <c r="AM51" i="29"/>
  <c r="AM53" i="29" s="1"/>
  <c r="I9" i="5" s="1"/>
  <c r="AO48" i="29"/>
  <c r="CI47" i="29"/>
  <c r="AN47" i="29"/>
  <c r="CH46" i="29"/>
  <c r="CA40" i="29"/>
  <c r="CA51" i="29" s="1"/>
  <c r="CA53" i="29" s="1"/>
  <c r="AG51" i="29"/>
  <c r="AG53" i="29" s="1"/>
  <c r="AF39" i="29"/>
  <c r="BZ38" i="29"/>
  <c r="AP49" i="29"/>
  <c r="CJ48" i="29"/>
  <c r="AJ43" i="29"/>
  <c r="CD42" i="29"/>
  <c r="AL45" i="29"/>
  <c r="CF44" i="29"/>
  <c r="AK44" i="29"/>
  <c r="CE43" i="29"/>
  <c r="AE51" i="29"/>
  <c r="AE53" i="29" s="1"/>
  <c r="J100" i="29"/>
  <c r="L99" i="29"/>
  <c r="N25" i="40" l="1"/>
  <c r="N25" i="9"/>
  <c r="N28" i="9"/>
  <c r="CV47" i="29"/>
  <c r="CV51" i="29" s="1"/>
  <c r="CV53" i="29" s="1"/>
  <c r="BA51" i="29"/>
  <c r="BA53" i="29" s="1"/>
  <c r="BO41" i="29"/>
  <c r="BO51" i="29" s="1"/>
  <c r="BO53" i="29" s="1"/>
  <c r="U51" i="29"/>
  <c r="U53" i="29" s="1"/>
  <c r="CS44" i="29"/>
  <c r="CS51" i="29" s="1"/>
  <c r="CS53" i="29" s="1"/>
  <c r="AX51" i="29"/>
  <c r="AX53" i="29" s="1"/>
  <c r="BU47" i="29"/>
  <c r="BU51" i="29" s="1"/>
  <c r="BU53" i="29" s="1"/>
  <c r="AA51" i="29"/>
  <c r="AA53" i="29" s="1"/>
  <c r="BQ43" i="29"/>
  <c r="BQ51" i="29" s="1"/>
  <c r="BQ53" i="29" s="1"/>
  <c r="W51" i="29"/>
  <c r="W53" i="29" s="1"/>
  <c r="BR44" i="29"/>
  <c r="BR51" i="29" s="1"/>
  <c r="BR53" i="29" s="1"/>
  <c r="X51" i="29"/>
  <c r="X53" i="29" s="1"/>
  <c r="CR43" i="29"/>
  <c r="CR51" i="29" s="1"/>
  <c r="CR53" i="29" s="1"/>
  <c r="AW51" i="29"/>
  <c r="AW53" i="29" s="1"/>
  <c r="BV48" i="29"/>
  <c r="BV51" i="29" s="1"/>
  <c r="BV53" i="29" s="1"/>
  <c r="AB51" i="29"/>
  <c r="AB53" i="29" s="1"/>
  <c r="CO40" i="29"/>
  <c r="CO51" i="29" s="1"/>
  <c r="CO53" i="29" s="1"/>
  <c r="AT51" i="29"/>
  <c r="AT53" i="29" s="1"/>
  <c r="CW48" i="29"/>
  <c r="CW51" i="29" s="1"/>
  <c r="CW53" i="29" s="1"/>
  <c r="BB51" i="29"/>
  <c r="BB53" i="29" s="1"/>
  <c r="BL38" i="29"/>
  <c r="BL51" i="29" s="1"/>
  <c r="BL53" i="29" s="1"/>
  <c r="R51" i="29"/>
  <c r="R53" i="29" s="1"/>
  <c r="BN40" i="29"/>
  <c r="BN51" i="29" s="1"/>
  <c r="BN53" i="29" s="1"/>
  <c r="T51" i="29"/>
  <c r="T53" i="29" s="1"/>
  <c r="BP42" i="29"/>
  <c r="BP51" i="29" s="1"/>
  <c r="BP53" i="29" s="1"/>
  <c r="V51" i="29"/>
  <c r="V53" i="29" s="1"/>
  <c r="BW49" i="29"/>
  <c r="BW51" i="29" s="1"/>
  <c r="BW53" i="29" s="1"/>
  <c r="AC51" i="29"/>
  <c r="AC53" i="29" s="1"/>
  <c r="BM39" i="29"/>
  <c r="BM51" i="29" s="1"/>
  <c r="BM53" i="29" s="1"/>
  <c r="S51" i="29"/>
  <c r="S53" i="29" s="1"/>
  <c r="BT46" i="29"/>
  <c r="BT51" i="29" s="1"/>
  <c r="BT53" i="29" s="1"/>
  <c r="Z51" i="29"/>
  <c r="Z53" i="29" s="1"/>
  <c r="BX50" i="29"/>
  <c r="BX51" i="29" s="1"/>
  <c r="BX53" i="29" s="1"/>
  <c r="AD51" i="29"/>
  <c r="AD53" i="29" s="1"/>
  <c r="CP41" i="29"/>
  <c r="CP51" i="29" s="1"/>
  <c r="CP53" i="29" s="1"/>
  <c r="AU51" i="29"/>
  <c r="AU53" i="29" s="1"/>
  <c r="CE44" i="29"/>
  <c r="CE51" i="29" s="1"/>
  <c r="CE53" i="29" s="1"/>
  <c r="AK51" i="29"/>
  <c r="AK53" i="29" s="1"/>
  <c r="CD43" i="29"/>
  <c r="CD51" i="29" s="1"/>
  <c r="CD53" i="29" s="1"/>
  <c r="AJ51" i="29"/>
  <c r="AJ53" i="29" s="1"/>
  <c r="BZ39" i="29"/>
  <c r="BZ51" i="29" s="1"/>
  <c r="BZ53" i="29" s="1"/>
  <c r="AF51" i="29"/>
  <c r="AF53" i="29" s="1"/>
  <c r="CH47" i="29"/>
  <c r="CH51" i="29" s="1"/>
  <c r="CH53" i="29" s="1"/>
  <c r="AN51" i="29"/>
  <c r="AN53" i="29" s="1"/>
  <c r="CK50" i="29"/>
  <c r="CK51" i="29" s="1"/>
  <c r="CK53" i="29" s="1"/>
  <c r="AQ51" i="29"/>
  <c r="AQ53" i="29" s="1"/>
  <c r="CF45" i="29"/>
  <c r="CF51" i="29" s="1"/>
  <c r="CF53" i="29" s="1"/>
  <c r="AL51" i="29"/>
  <c r="AL53" i="29" s="1"/>
  <c r="CJ49" i="29"/>
  <c r="CJ51" i="29" s="1"/>
  <c r="CJ53" i="29" s="1"/>
  <c r="AP51" i="29"/>
  <c r="AP53" i="29" s="1"/>
  <c r="CI48" i="29"/>
  <c r="CI51" i="29" s="1"/>
  <c r="CI53" i="29" s="1"/>
  <c r="AO51" i="29"/>
  <c r="AO53" i="29" s="1"/>
  <c r="CC42" i="29"/>
  <c r="CC51" i="29" s="1"/>
  <c r="CC53" i="29" s="1"/>
  <c r="AI51" i="29"/>
  <c r="AI53" i="29" s="1"/>
  <c r="CB41" i="29"/>
  <c r="CB51" i="29" s="1"/>
  <c r="CB53" i="29" s="1"/>
  <c r="AH51" i="29"/>
  <c r="AH53" i="29" s="1"/>
  <c r="L100" i="29"/>
  <c r="L101" i="29" s="1"/>
  <c r="J101" i="29"/>
  <c r="N29" i="38" l="1"/>
  <c r="N8" i="38"/>
  <c r="I11" i="5"/>
  <c r="V21" i="38" s="1"/>
  <c r="N49" i="22" s="1"/>
  <c r="N11" i="38"/>
  <c r="N10" i="38"/>
  <c r="N12" i="38"/>
  <c r="N28" i="38"/>
  <c r="N17" i="38"/>
  <c r="N19" i="38"/>
  <c r="N21" i="38"/>
  <c r="N20" i="38"/>
  <c r="N26" i="38"/>
  <c r="N30" i="38"/>
  <c r="O19" i="5"/>
  <c r="I12" i="10"/>
  <c r="I11" i="10"/>
  <c r="I10" i="10"/>
  <c r="I9" i="10"/>
  <c r="I8" i="10"/>
  <c r="V30" i="38" l="1"/>
  <c r="N57" i="22" s="1"/>
  <c r="V17" i="38"/>
  <c r="N45" i="22" s="1"/>
  <c r="V26" i="38"/>
  <c r="N53" i="22" s="1"/>
  <c r="V8" i="38"/>
  <c r="N37" i="22" s="1"/>
  <c r="V12" i="38"/>
  <c r="N41" i="22" s="1"/>
  <c r="V10" i="38"/>
  <c r="N39" i="22" s="1"/>
  <c r="V28" i="38"/>
  <c r="N55" i="22" s="1"/>
  <c r="V19" i="38"/>
  <c r="N47" i="22" s="1"/>
  <c r="V29" i="38"/>
  <c r="N56" i="22" s="1"/>
  <c r="V20" i="38"/>
  <c r="N48" i="22" s="1"/>
  <c r="V11" i="38"/>
  <c r="N40" i="22" s="1"/>
  <c r="F50" i="26"/>
  <c r="N12" i="2"/>
  <c r="O12" i="10" l="1"/>
  <c r="O30" i="10" s="1"/>
  <c r="O11" i="10"/>
  <c r="O29" i="10" s="1"/>
  <c r="O10" i="10"/>
  <c r="O19" i="10" s="1"/>
  <c r="O9" i="10"/>
  <c r="O27" i="10" s="1"/>
  <c r="O8" i="10"/>
  <c r="O26" i="10" s="1"/>
  <c r="O20" i="10" l="1"/>
  <c r="O28" i="10"/>
  <c r="O17" i="10"/>
  <c r="O21" i="10"/>
  <c r="O18" i="10"/>
  <c r="H12" i="10"/>
  <c r="H9" i="10"/>
  <c r="H10" i="10"/>
  <c r="H11" i="10"/>
  <c r="H8" i="10"/>
  <c r="F12" i="10"/>
  <c r="F9" i="10"/>
  <c r="F10" i="10"/>
  <c r="F11" i="10"/>
  <c r="F8" i="10"/>
  <c r="E8" i="10"/>
  <c r="K12" i="10"/>
  <c r="K11" i="10"/>
  <c r="K10" i="10"/>
  <c r="K9" i="10"/>
  <c r="K8" i="10"/>
  <c r="F27" i="10" l="1"/>
  <c r="H24" i="22" s="1"/>
  <c r="H8" i="22"/>
  <c r="H28" i="10"/>
  <c r="J9" i="22"/>
  <c r="F26" i="10"/>
  <c r="H23" i="22" s="1"/>
  <c r="H7" i="22"/>
  <c r="F30" i="10"/>
  <c r="H27" i="22" s="1"/>
  <c r="H11" i="22"/>
  <c r="H27" i="10"/>
  <c r="J8" i="22"/>
  <c r="F20" i="10"/>
  <c r="H18" i="22" s="1"/>
  <c r="H10" i="22"/>
  <c r="E26" i="10"/>
  <c r="G23" i="22" s="1"/>
  <c r="G7" i="22"/>
  <c r="H26" i="10"/>
  <c r="J7" i="22"/>
  <c r="H30" i="10"/>
  <c r="J11" i="22"/>
  <c r="F28" i="10"/>
  <c r="H25" i="22" s="1"/>
  <c r="H9" i="22"/>
  <c r="H29" i="10"/>
  <c r="J10" i="22"/>
  <c r="F29" i="10"/>
  <c r="H26" i="22" s="1"/>
  <c r="H17" i="10"/>
  <c r="J15" i="22" s="1"/>
  <c r="H18" i="10"/>
  <c r="J16" i="22" s="1"/>
  <c r="H21" i="10"/>
  <c r="J19" i="22" s="1"/>
  <c r="I18" i="10"/>
  <c r="I27" i="10"/>
  <c r="F19" i="10"/>
  <c r="H17" i="22" s="1"/>
  <c r="I19" i="10"/>
  <c r="I28" i="10"/>
  <c r="E17" i="10"/>
  <c r="G15" i="22" s="1"/>
  <c r="F18" i="10"/>
  <c r="H16" i="22" s="1"/>
  <c r="I20" i="10"/>
  <c r="I29" i="10"/>
  <c r="F17" i="10"/>
  <c r="H15" i="22" s="1"/>
  <c r="F21" i="10"/>
  <c r="H19" i="22" s="1"/>
  <c r="H19" i="10"/>
  <c r="J17" i="22" s="1"/>
  <c r="I17" i="10"/>
  <c r="I26" i="10"/>
  <c r="I21" i="10"/>
  <c r="I30" i="10"/>
  <c r="H20" i="10"/>
  <c r="J18" i="22" s="1"/>
  <c r="G79" i="26"/>
  <c r="F79" i="26"/>
  <c r="G78" i="26"/>
  <c r="F78" i="26"/>
  <c r="G77" i="26"/>
  <c r="F77" i="26"/>
  <c r="G75" i="26"/>
  <c r="F75" i="26"/>
  <c r="G74" i="26"/>
  <c r="F74" i="26"/>
  <c r="G73" i="26"/>
  <c r="F73" i="26"/>
  <c r="G71" i="26"/>
  <c r="F71" i="26"/>
  <c r="G70" i="26"/>
  <c r="F70" i="26"/>
  <c r="G69" i="26"/>
  <c r="F69" i="26"/>
  <c r="G67" i="26"/>
  <c r="F67" i="26"/>
  <c r="G66" i="26"/>
  <c r="F66" i="26"/>
  <c r="G65" i="26"/>
  <c r="F65" i="26"/>
  <c r="G63" i="26"/>
  <c r="F63" i="26"/>
  <c r="G62" i="26"/>
  <c r="F62" i="26"/>
  <c r="G61" i="26"/>
  <c r="F61" i="26"/>
  <c r="G59" i="26"/>
  <c r="F59" i="26"/>
  <c r="G58" i="26"/>
  <c r="F58" i="26"/>
  <c r="G57" i="26"/>
  <c r="F57" i="26"/>
  <c r="G55" i="26"/>
  <c r="F55" i="26"/>
  <c r="G54" i="26"/>
  <c r="F54" i="26"/>
  <c r="G53" i="26"/>
  <c r="G51" i="26"/>
  <c r="F51" i="26"/>
  <c r="G50" i="26"/>
  <c r="G49" i="26"/>
  <c r="J26" i="22" l="1"/>
  <c r="J23" i="22"/>
  <c r="J27" i="22"/>
  <c r="J25" i="22"/>
  <c r="J24" i="22"/>
  <c r="Y38" i="5" l="1"/>
  <c r="V16" i="9"/>
  <c r="M18" i="38" l="1"/>
  <c r="M27" i="38"/>
  <c r="N27" i="38" s="1"/>
  <c r="M9" i="38"/>
  <c r="L9" i="10"/>
  <c r="L10" i="10"/>
  <c r="L12" i="10"/>
  <c r="L8" i="10"/>
  <c r="L11" i="10"/>
  <c r="L18" i="10" l="1"/>
  <c r="L27" i="10"/>
  <c r="L26" i="10"/>
  <c r="L17" i="10"/>
  <c r="N9" i="38"/>
  <c r="V9" i="38"/>
  <c r="N38" i="22" s="1"/>
  <c r="L30" i="10"/>
  <c r="L21" i="10"/>
  <c r="V27" i="38"/>
  <c r="N54" i="22" s="1"/>
  <c r="L29" i="10"/>
  <c r="L20" i="10"/>
  <c r="L19" i="10"/>
  <c r="L28" i="10"/>
  <c r="V18" i="38"/>
  <c r="N46" i="22" s="1"/>
  <c r="N18" i="38"/>
  <c r="M13" i="14"/>
  <c r="M14" i="14" s="1"/>
  <c r="J57" i="20" l="1"/>
  <c r="J49" i="20"/>
  <c r="J40" i="20"/>
  <c r="J22" i="20"/>
  <c r="J13" i="20"/>
  <c r="J114" i="20" l="1"/>
  <c r="J82" i="20"/>
  <c r="J72" i="20"/>
  <c r="J91" i="20"/>
  <c r="J30" i="20"/>
  <c r="J105" i="20" l="1"/>
  <c r="O21" i="5" l="1"/>
  <c r="K51" i="5"/>
  <c r="K50" i="5"/>
  <c r="E9" i="10" s="1"/>
  <c r="G8" i="22" s="1"/>
  <c r="E10" i="10" l="1"/>
  <c r="G9" i="22" s="1"/>
  <c r="Q51" i="5"/>
  <c r="E27" i="10"/>
  <c r="G24" i="22" s="1"/>
  <c r="E18" i="10"/>
  <c r="G16" i="22" s="1"/>
  <c r="E19" i="10" l="1"/>
  <c r="G17" i="22" s="1"/>
  <c r="E28" i="10"/>
  <c r="G25" i="22" s="1"/>
  <c r="J8" i="10"/>
  <c r="J9" i="10"/>
  <c r="J12" i="10"/>
  <c r="J11" i="10"/>
  <c r="J10" i="10"/>
  <c r="J18" i="10" l="1"/>
  <c r="J27" i="10"/>
  <c r="J19" i="10"/>
  <c r="J28" i="10"/>
  <c r="J17" i="10"/>
  <c r="J26" i="10"/>
  <c r="J21" i="10"/>
  <c r="J30" i="10"/>
  <c r="J20" i="10"/>
  <c r="J29" i="10"/>
  <c r="K53" i="5"/>
  <c r="K52" i="5"/>
  <c r="G10" i="10"/>
  <c r="Q50" i="5"/>
  <c r="G9" i="10" s="1"/>
  <c r="Q49" i="5"/>
  <c r="I8" i="22" l="1"/>
  <c r="M9" i="10"/>
  <c r="I9" i="22"/>
  <c r="M10" i="10"/>
  <c r="G8" i="10"/>
  <c r="M8" i="10" s="1"/>
  <c r="G27" i="10"/>
  <c r="M27" i="10" s="1"/>
  <c r="G18" i="10"/>
  <c r="G28" i="10"/>
  <c r="M28" i="10" s="1"/>
  <c r="G19" i="10"/>
  <c r="Q53" i="5"/>
  <c r="G12" i="10" s="1"/>
  <c r="E12" i="10"/>
  <c r="G11" i="22" s="1"/>
  <c r="Q52" i="5"/>
  <c r="G11" i="10" s="1"/>
  <c r="E11" i="10"/>
  <c r="G10" i="22" s="1"/>
  <c r="V27" i="10" l="1"/>
  <c r="N27" i="10"/>
  <c r="V28" i="10"/>
  <c r="N28" i="10"/>
  <c r="V10" i="10"/>
  <c r="N9" i="22" s="1"/>
  <c r="N10" i="10"/>
  <c r="V9" i="10"/>
  <c r="N8" i="22" s="1"/>
  <c r="N9" i="10"/>
  <c r="V8" i="10"/>
  <c r="N8" i="10"/>
  <c r="I25" i="22"/>
  <c r="I24" i="22"/>
  <c r="I10" i="22"/>
  <c r="M11" i="10"/>
  <c r="M18" i="10"/>
  <c r="I16" i="22"/>
  <c r="I11" i="22"/>
  <c r="M12" i="10"/>
  <c r="M19" i="10"/>
  <c r="I17" i="22"/>
  <c r="I7" i="22"/>
  <c r="G26" i="10"/>
  <c r="M26" i="10" s="1"/>
  <c r="G17" i="10"/>
  <c r="M17" i="10" s="1"/>
  <c r="N17" i="10" s="1"/>
  <c r="W46" i="5"/>
  <c r="G30" i="10"/>
  <c r="M30" i="10" s="1"/>
  <c r="G21" i="10"/>
  <c r="E20" i="10"/>
  <c r="G18" i="22" s="1"/>
  <c r="E29" i="10"/>
  <c r="G26" i="22" s="1"/>
  <c r="G29" i="10"/>
  <c r="M29" i="10" s="1"/>
  <c r="G20" i="10"/>
  <c r="E30" i="10"/>
  <c r="G27" i="22" s="1"/>
  <c r="E21" i="10"/>
  <c r="G19" i="22" s="1"/>
  <c r="D11" i="39" l="1"/>
  <c r="Q12" i="40"/>
  <c r="Q11" i="40"/>
  <c r="V11" i="40" s="1"/>
  <c r="Q17" i="40"/>
  <c r="V17" i="40" s="1"/>
  <c r="Q8" i="40"/>
  <c r="P11" i="33"/>
  <c r="V11" i="33" s="1"/>
  <c r="P10" i="33"/>
  <c r="P112" i="33"/>
  <c r="P39" i="33"/>
  <c r="P89" i="33"/>
  <c r="V89" i="33" s="1"/>
  <c r="P20" i="33"/>
  <c r="V20" i="33" s="1"/>
  <c r="P71" i="33"/>
  <c r="V71" i="33" s="1"/>
  <c r="P113" i="33"/>
  <c r="P47" i="33"/>
  <c r="P90" i="33"/>
  <c r="V90" i="33" s="1"/>
  <c r="P21" i="33"/>
  <c r="V21" i="33" s="1"/>
  <c r="P79" i="33"/>
  <c r="P114" i="33"/>
  <c r="V114" i="33" s="1"/>
  <c r="P48" i="33"/>
  <c r="P103" i="33"/>
  <c r="P28" i="33"/>
  <c r="P80" i="33"/>
  <c r="V80" i="33" s="1"/>
  <c r="P11" i="36"/>
  <c r="V11" i="36" s="1"/>
  <c r="P55" i="33"/>
  <c r="P104" i="33"/>
  <c r="V104" i="33" s="1"/>
  <c r="P29" i="33"/>
  <c r="V29" i="33" s="1"/>
  <c r="P81" i="33"/>
  <c r="V81" i="33" s="1"/>
  <c r="P21" i="36"/>
  <c r="V21" i="36" s="1"/>
  <c r="P56" i="33"/>
  <c r="V56" i="33" s="1"/>
  <c r="P105" i="33"/>
  <c r="V105" i="33" s="1"/>
  <c r="P38" i="33"/>
  <c r="P88" i="33"/>
  <c r="P20" i="36"/>
  <c r="P70" i="33"/>
  <c r="P12" i="33"/>
  <c r="V12" i="33" s="1"/>
  <c r="P10" i="36"/>
  <c r="V26" i="10"/>
  <c r="N26" i="10"/>
  <c r="N29" i="10"/>
  <c r="V29" i="10"/>
  <c r="V30" i="10"/>
  <c r="N30" i="10"/>
  <c r="Q11" i="9"/>
  <c r="V11" i="9" s="1"/>
  <c r="E13" i="19"/>
  <c r="V12" i="10"/>
  <c r="N11" i="22" s="1"/>
  <c r="N12" i="10"/>
  <c r="V11" i="10"/>
  <c r="N10" i="22" s="1"/>
  <c r="N11" i="10"/>
  <c r="V19" i="10"/>
  <c r="N17" i="22" s="1"/>
  <c r="N19" i="10"/>
  <c r="V18" i="10"/>
  <c r="N16" i="22" s="1"/>
  <c r="N18" i="10"/>
  <c r="N24" i="22"/>
  <c r="N25" i="22"/>
  <c r="V48" i="33"/>
  <c r="V113" i="33"/>
  <c r="V39" i="33"/>
  <c r="P87" i="36"/>
  <c r="V87" i="36" s="1"/>
  <c r="P120" i="36"/>
  <c r="V120" i="36" s="1"/>
  <c r="P102" i="36"/>
  <c r="P48" i="36"/>
  <c r="V48" i="36" s="1"/>
  <c r="P121" i="36"/>
  <c r="V121" i="36" s="1"/>
  <c r="P29" i="36"/>
  <c r="V29" i="36" s="1"/>
  <c r="P71" i="36"/>
  <c r="V71" i="36" s="1"/>
  <c r="P12" i="36"/>
  <c r="V12" i="36" s="1"/>
  <c r="P113" i="36"/>
  <c r="V113" i="36" s="1"/>
  <c r="P90" i="36"/>
  <c r="V90" i="36" s="1"/>
  <c r="P103" i="36"/>
  <c r="V103" i="36" s="1"/>
  <c r="P55" i="36"/>
  <c r="P38" i="36"/>
  <c r="P112" i="36"/>
  <c r="V112" i="36" s="1"/>
  <c r="P111" i="36"/>
  <c r="P88" i="36"/>
  <c r="P79" i="36"/>
  <c r="P81" i="36"/>
  <c r="V81" i="36" s="1"/>
  <c r="P39" i="36"/>
  <c r="V39" i="36" s="1"/>
  <c r="P28" i="36"/>
  <c r="P89" i="36"/>
  <c r="V89" i="36" s="1"/>
  <c r="P104" i="36"/>
  <c r="V104" i="36" s="1"/>
  <c r="P80" i="36"/>
  <c r="V80" i="36" s="1"/>
  <c r="P47" i="36"/>
  <c r="P56" i="36"/>
  <c r="V56" i="36" s="1"/>
  <c r="P70" i="36"/>
  <c r="N7" i="22"/>
  <c r="Q17" i="9"/>
  <c r="V17" i="9" s="1"/>
  <c r="Q12" i="9"/>
  <c r="P112" i="20"/>
  <c r="V112" i="20" s="1"/>
  <c r="P48" i="20"/>
  <c r="V48" i="20" s="1"/>
  <c r="P80" i="20"/>
  <c r="V80" i="20" s="1"/>
  <c r="V121" i="33"/>
  <c r="P38" i="20"/>
  <c r="V38" i="20" s="1"/>
  <c r="P56" i="20"/>
  <c r="V56" i="20" s="1"/>
  <c r="P88" i="20"/>
  <c r="V88" i="20" s="1"/>
  <c r="P21" i="20"/>
  <c r="P70" i="20"/>
  <c r="V70" i="20" s="1"/>
  <c r="P39" i="20"/>
  <c r="V39" i="20" s="1"/>
  <c r="V122" i="33"/>
  <c r="P89" i="20"/>
  <c r="V89" i="20" s="1"/>
  <c r="E10" i="19"/>
  <c r="P29" i="20"/>
  <c r="V29" i="20" s="1"/>
  <c r="P111" i="20"/>
  <c r="V111" i="20" s="1"/>
  <c r="P10" i="20"/>
  <c r="P47" i="20"/>
  <c r="V47" i="20" s="1"/>
  <c r="P71" i="20"/>
  <c r="V71" i="20" s="1"/>
  <c r="P79" i="20"/>
  <c r="V79" i="20" s="1"/>
  <c r="P20" i="20"/>
  <c r="V20" i="20" s="1"/>
  <c r="P28" i="20"/>
  <c r="P55" i="20"/>
  <c r="V55" i="20" s="1"/>
  <c r="Q8" i="9"/>
  <c r="P87" i="33"/>
  <c r="V87" i="33" s="1"/>
  <c r="P113" i="20"/>
  <c r="V113" i="20" s="1"/>
  <c r="P81" i="20"/>
  <c r="V81" i="20" s="1"/>
  <c r="P104" i="20"/>
  <c r="V104" i="20" s="1"/>
  <c r="P103" i="20"/>
  <c r="V103" i="20" s="1"/>
  <c r="P90" i="20"/>
  <c r="V90" i="20" s="1"/>
  <c r="P102" i="20"/>
  <c r="V102" i="20" s="1"/>
  <c r="I23" i="22"/>
  <c r="I26" i="22"/>
  <c r="I27" i="22"/>
  <c r="P11" i="20"/>
  <c r="V11" i="20" s="1"/>
  <c r="P101" i="20"/>
  <c r="V101" i="20" s="1"/>
  <c r="I15" i="22"/>
  <c r="M21" i="10"/>
  <c r="I19" i="22"/>
  <c r="M20" i="10"/>
  <c r="I18" i="22"/>
  <c r="E14" i="19"/>
  <c r="V120" i="20"/>
  <c r="P12" i="20"/>
  <c r="V12" i="20" s="1"/>
  <c r="V121" i="20"/>
  <c r="T51" i="5"/>
  <c r="T52" i="5"/>
  <c r="T49" i="5"/>
  <c r="T53" i="5"/>
  <c r="T50" i="5"/>
  <c r="E17" i="19" l="1"/>
  <c r="J17" i="19" s="1"/>
  <c r="J14" i="19"/>
  <c r="Q19" i="40"/>
  <c r="V19" i="40" s="1"/>
  <c r="Q14" i="40"/>
  <c r="V14" i="40" s="1"/>
  <c r="Q15" i="40"/>
  <c r="V15" i="40" s="1"/>
  <c r="V12" i="40"/>
  <c r="Q10" i="40"/>
  <c r="V10" i="40" s="1"/>
  <c r="Q18" i="40"/>
  <c r="V18" i="40" s="1"/>
  <c r="V28" i="40"/>
  <c r="V8" i="40"/>
  <c r="Q13" i="40"/>
  <c r="V13" i="40" s="1"/>
  <c r="E19" i="19"/>
  <c r="J19" i="19" s="1"/>
  <c r="J13" i="19"/>
  <c r="H10" i="7"/>
  <c r="I10" i="7" s="1"/>
  <c r="J10" i="19"/>
  <c r="V8" i="9"/>
  <c r="V28" i="9"/>
  <c r="Q13" i="9"/>
  <c r="V13" i="9" s="1"/>
  <c r="A26" i="38"/>
  <c r="A8" i="38"/>
  <c r="A17" i="38"/>
  <c r="A9" i="38"/>
  <c r="A27" i="38"/>
  <c r="A18" i="38"/>
  <c r="A10" i="38"/>
  <c r="A28" i="38"/>
  <c r="A19" i="38"/>
  <c r="A30" i="38"/>
  <c r="A12" i="38"/>
  <c r="A21" i="38"/>
  <c r="V12" i="9"/>
  <c r="Q15" i="9"/>
  <c r="V15" i="9" s="1"/>
  <c r="Q10" i="9"/>
  <c r="A29" i="38"/>
  <c r="A20" i="38"/>
  <c r="A11" i="38"/>
  <c r="V21" i="10"/>
  <c r="N19" i="22" s="1"/>
  <c r="N21" i="10"/>
  <c r="V20" i="10"/>
  <c r="N18" i="22" s="1"/>
  <c r="N20" i="10"/>
  <c r="V17" i="10"/>
  <c r="N15" i="22" s="1"/>
  <c r="N27" i="22"/>
  <c r="V70" i="36"/>
  <c r="V72" i="36" s="1"/>
  <c r="H26" i="32" s="1"/>
  <c r="P72" i="36"/>
  <c r="E26" i="32" s="1"/>
  <c r="V111" i="36"/>
  <c r="V114" i="36" s="1"/>
  <c r="H30" i="32" s="1"/>
  <c r="M9" i="32" s="1"/>
  <c r="P114" i="36"/>
  <c r="E30" i="32" s="1"/>
  <c r="P101" i="36"/>
  <c r="V101" i="36" s="1"/>
  <c r="P37" i="36"/>
  <c r="V37" i="36" s="1"/>
  <c r="P69" i="36"/>
  <c r="V69" i="36" s="1"/>
  <c r="P27" i="36"/>
  <c r="V27" i="36" s="1"/>
  <c r="P110" i="36"/>
  <c r="V110" i="36" s="1"/>
  <c r="V10" i="36"/>
  <c r="V13" i="36" s="1"/>
  <c r="H20" i="32" s="1"/>
  <c r="P46" i="36"/>
  <c r="V46" i="36" s="1"/>
  <c r="P119" i="36"/>
  <c r="P54" i="36"/>
  <c r="V54" i="36" s="1"/>
  <c r="P13" i="36"/>
  <c r="E20" i="32" s="1"/>
  <c r="P19" i="36"/>
  <c r="V19" i="36" s="1"/>
  <c r="P78" i="36"/>
  <c r="V78" i="36" s="1"/>
  <c r="P105" i="36"/>
  <c r="E29" i="32" s="1"/>
  <c r="V102" i="36"/>
  <c r="V105" i="36" s="1"/>
  <c r="H29" i="32" s="1"/>
  <c r="V47" i="36"/>
  <c r="V49" i="36" s="1"/>
  <c r="H24" i="32" s="1"/>
  <c r="P49" i="36"/>
  <c r="E24" i="32" s="1"/>
  <c r="V79" i="36"/>
  <c r="V82" i="36" s="1"/>
  <c r="H27" i="32" s="1"/>
  <c r="P82" i="36"/>
  <c r="E27" i="32" s="1"/>
  <c r="V38" i="36"/>
  <c r="V40" i="36" s="1"/>
  <c r="H23" i="32" s="1"/>
  <c r="P40" i="36"/>
  <c r="E23" i="32" s="1"/>
  <c r="N23" i="22"/>
  <c r="P30" i="36"/>
  <c r="E22" i="32" s="1"/>
  <c r="V28" i="36"/>
  <c r="V30" i="36" s="1"/>
  <c r="H22" i="32" s="1"/>
  <c r="P91" i="36"/>
  <c r="E28" i="32" s="1"/>
  <c r="V88" i="36"/>
  <c r="V91" i="36" s="1"/>
  <c r="H28" i="32" s="1"/>
  <c r="V55" i="36"/>
  <c r="V57" i="36" s="1"/>
  <c r="H25" i="32" s="1"/>
  <c r="P57" i="36"/>
  <c r="E25" i="32" s="1"/>
  <c r="V20" i="36"/>
  <c r="V22" i="36" s="1"/>
  <c r="H21" i="32" s="1"/>
  <c r="P22" i="36"/>
  <c r="E21" i="32" s="1"/>
  <c r="V70" i="33"/>
  <c r="V72" i="33" s="1"/>
  <c r="P72" i="33"/>
  <c r="Q14" i="9"/>
  <c r="V14" i="9" s="1"/>
  <c r="Q18" i="9"/>
  <c r="V18" i="9" s="1"/>
  <c r="Q19" i="9"/>
  <c r="N26" i="22"/>
  <c r="P115" i="33"/>
  <c r="V112" i="33"/>
  <c r="V115" i="33" s="1"/>
  <c r="P110" i="20"/>
  <c r="V110" i="20" s="1"/>
  <c r="P46" i="20"/>
  <c r="V46" i="20" s="1"/>
  <c r="P87" i="20"/>
  <c r="V87" i="20" s="1"/>
  <c r="P78" i="20"/>
  <c r="V78" i="20" s="1"/>
  <c r="P119" i="20"/>
  <c r="P122" i="20" s="1"/>
  <c r="V122" i="20" s="1"/>
  <c r="D145" i="20" s="1"/>
  <c r="P37" i="20"/>
  <c r="V37" i="20" s="1"/>
  <c r="P69" i="20"/>
  <c r="V69" i="20" s="1"/>
  <c r="P54" i="20"/>
  <c r="V54" i="20" s="1"/>
  <c r="P27" i="20"/>
  <c r="V27" i="20" s="1"/>
  <c r="P19" i="20"/>
  <c r="V19" i="20" s="1"/>
  <c r="V22" i="33"/>
  <c r="P22" i="33"/>
  <c r="P106" i="33"/>
  <c r="V103" i="33"/>
  <c r="V106" i="33" s="1"/>
  <c r="V55" i="33"/>
  <c r="V57" i="33" s="1"/>
  <c r="P57" i="33"/>
  <c r="V28" i="33"/>
  <c r="V30" i="33" s="1"/>
  <c r="P30" i="33"/>
  <c r="P40" i="33"/>
  <c r="V38" i="33"/>
  <c r="V40" i="33" s="1"/>
  <c r="P111" i="33"/>
  <c r="V111" i="33" s="1"/>
  <c r="P69" i="33"/>
  <c r="V69" i="33" s="1"/>
  <c r="P37" i="33"/>
  <c r="V37" i="33" s="1"/>
  <c r="P27" i="33"/>
  <c r="V27" i="33" s="1"/>
  <c r="P46" i="33"/>
  <c r="V46" i="33" s="1"/>
  <c r="P19" i="33"/>
  <c r="V19" i="33" s="1"/>
  <c r="P78" i="33"/>
  <c r="V78" i="33" s="1"/>
  <c r="P120" i="33"/>
  <c r="P13" i="33"/>
  <c r="E20" i="35" s="1"/>
  <c r="P54" i="33"/>
  <c r="V54" i="33" s="1"/>
  <c r="P102" i="33"/>
  <c r="V102" i="33" s="1"/>
  <c r="V10" i="33"/>
  <c r="V13" i="33" s="1"/>
  <c r="V79" i="33"/>
  <c r="V82" i="33" s="1"/>
  <c r="P82" i="33"/>
  <c r="P49" i="33"/>
  <c r="V47" i="33"/>
  <c r="V49" i="33" s="1"/>
  <c r="V88" i="33"/>
  <c r="V91" i="33" s="1"/>
  <c r="P91" i="33"/>
  <c r="V21" i="20"/>
  <c r="V22" i="20" s="1"/>
  <c r="D135" i="20" s="1"/>
  <c r="H21" i="14" s="1"/>
  <c r="P30" i="20"/>
  <c r="E22" i="14" s="1"/>
  <c r="V28" i="20"/>
  <c r="V30" i="20" s="1"/>
  <c r="D136" i="20" s="1"/>
  <c r="H22" i="14" s="1"/>
  <c r="P13" i="20"/>
  <c r="E20" i="14" s="1"/>
  <c r="H11" i="7" s="1"/>
  <c r="I11" i="7" s="1"/>
  <c r="V10" i="20"/>
  <c r="V40" i="20"/>
  <c r="D137" i="20" s="1"/>
  <c r="H23" i="14" s="1"/>
  <c r="P105" i="20"/>
  <c r="P40" i="20"/>
  <c r="E23" i="14" s="1"/>
  <c r="P49" i="20"/>
  <c r="E24" i="14" s="1"/>
  <c r="V114" i="20"/>
  <c r="D144" i="20" s="1"/>
  <c r="V49" i="20"/>
  <c r="D138" i="20" s="1"/>
  <c r="H24" i="14" s="1"/>
  <c r="E15" i="19"/>
  <c r="J15" i="19" s="1"/>
  <c r="E16" i="19"/>
  <c r="J16" i="19" s="1"/>
  <c r="E20" i="19"/>
  <c r="J20" i="19" s="1"/>
  <c r="E12" i="19"/>
  <c r="J12" i="19" s="1"/>
  <c r="E21" i="19"/>
  <c r="J21" i="19" s="1"/>
  <c r="V91" i="20"/>
  <c r="D142" i="20" s="1"/>
  <c r="V72" i="20"/>
  <c r="D140" i="20" s="1"/>
  <c r="H26" i="14" s="1"/>
  <c r="V105" i="20"/>
  <c r="D143" i="20" s="1"/>
  <c r="V57" i="20"/>
  <c r="D139" i="20" s="1"/>
  <c r="H25" i="14" s="1"/>
  <c r="P114" i="20"/>
  <c r="P57" i="20"/>
  <c r="E25" i="14" s="1"/>
  <c r="P91" i="20"/>
  <c r="P72" i="20"/>
  <c r="E26" i="14" s="1"/>
  <c r="V82" i="20"/>
  <c r="D141" i="20" s="1"/>
  <c r="H27" i="14" s="1"/>
  <c r="P82" i="20"/>
  <c r="E27" i="14" s="1"/>
  <c r="A11" i="10"/>
  <c r="C10" i="22" s="1"/>
  <c r="A29" i="10"/>
  <c r="A20" i="10"/>
  <c r="C18" i="22" s="1"/>
  <c r="A28" i="10"/>
  <c r="A19" i="10"/>
  <c r="C17" i="22" s="1"/>
  <c r="A10" i="10"/>
  <c r="C9" i="22" s="1"/>
  <c r="A30" i="10"/>
  <c r="A21" i="10"/>
  <c r="C19" i="22" s="1"/>
  <c r="A12" i="10"/>
  <c r="C11" i="22" s="1"/>
  <c r="P22" i="20"/>
  <c r="E21" i="14" s="1"/>
  <c r="A26" i="10"/>
  <c r="A17" i="10"/>
  <c r="A8" i="10"/>
  <c r="C7" i="22" s="1"/>
  <c r="V21" i="40" l="1"/>
  <c r="V22" i="40" s="1"/>
  <c r="C26" i="22"/>
  <c r="C15" i="22"/>
  <c r="C25" i="22"/>
  <c r="C23" i="22"/>
  <c r="C27" i="22"/>
  <c r="V119" i="20"/>
  <c r="D139" i="36"/>
  <c r="H25" i="35"/>
  <c r="D141" i="36"/>
  <c r="H27" i="35"/>
  <c r="D142" i="36"/>
  <c r="H28" i="35"/>
  <c r="V119" i="36"/>
  <c r="P122" i="36"/>
  <c r="H30" i="35"/>
  <c r="D144" i="36"/>
  <c r="D135" i="36"/>
  <c r="H21" i="35"/>
  <c r="H23" i="35"/>
  <c r="D137" i="36"/>
  <c r="H24" i="35"/>
  <c r="D138" i="36"/>
  <c r="D136" i="36"/>
  <c r="H22" i="35"/>
  <c r="D143" i="36"/>
  <c r="H29" i="35"/>
  <c r="D134" i="36"/>
  <c r="H20" i="35"/>
  <c r="D140" i="36"/>
  <c r="H26" i="35"/>
  <c r="H30" i="9"/>
  <c r="V29" i="9" s="1"/>
  <c r="E30" i="35"/>
  <c r="E29" i="35"/>
  <c r="E28" i="35"/>
  <c r="E27" i="35"/>
  <c r="E26" i="35"/>
  <c r="E25" i="35"/>
  <c r="E24" i="35"/>
  <c r="E23" i="35"/>
  <c r="E22" i="35"/>
  <c r="E21" i="35"/>
  <c r="D138" i="33"/>
  <c r="V120" i="33"/>
  <c r="P123" i="33"/>
  <c r="E31" i="35" s="1"/>
  <c r="D137" i="33"/>
  <c r="D139" i="33"/>
  <c r="D135" i="33"/>
  <c r="D143" i="33"/>
  <c r="D134" i="33"/>
  <c r="D144" i="33"/>
  <c r="D142" i="33"/>
  <c r="D141" i="33"/>
  <c r="D136" i="33"/>
  <c r="D140" i="33"/>
  <c r="E28" i="14"/>
  <c r="H29" i="14"/>
  <c r="H30" i="14"/>
  <c r="E29" i="14"/>
  <c r="E30" i="14"/>
  <c r="H28" i="14"/>
  <c r="H31" i="14"/>
  <c r="V13" i="20"/>
  <c r="D134" i="20" s="1"/>
  <c r="H20" i="14" s="1"/>
  <c r="M9" i="14" s="1"/>
  <c r="E31" i="14"/>
  <c r="V10" i="9"/>
  <c r="V19" i="9"/>
  <c r="J23" i="19"/>
  <c r="V23" i="40" l="1"/>
  <c r="V25" i="40"/>
  <c r="V24" i="40"/>
  <c r="V122" i="36"/>
  <c r="H31" i="32" s="1"/>
  <c r="E31" i="32"/>
  <c r="H30" i="40" s="1"/>
  <c r="V29" i="40" s="1"/>
  <c r="V21" i="9"/>
  <c r="V22" i="9" s="1"/>
  <c r="V123" i="33"/>
  <c r="W19" i="5"/>
  <c r="J24" i="19"/>
  <c r="V26" i="40" l="1"/>
  <c r="P29" i="38" s="1"/>
  <c r="D145" i="36"/>
  <c r="P30" i="38"/>
  <c r="P26" i="38"/>
  <c r="P28" i="38"/>
  <c r="P28" i="10"/>
  <c r="P30" i="10"/>
  <c r="P29" i="10"/>
  <c r="P26" i="10"/>
  <c r="H31" i="35"/>
  <c r="V25" i="9"/>
  <c r="V23" i="9"/>
  <c r="V24" i="9" s="1"/>
  <c r="D145" i="33"/>
  <c r="J25" i="19"/>
  <c r="J26" i="19" s="1"/>
  <c r="J27" i="19"/>
  <c r="P27" i="38" l="1"/>
  <c r="V26" i="9"/>
  <c r="P17" i="10" s="1"/>
  <c r="M9" i="35"/>
  <c r="J28" i="19"/>
  <c r="A18" i="10"/>
  <c r="A27" i="10"/>
  <c r="A9" i="10"/>
  <c r="C8" i="22" s="1"/>
  <c r="P27" i="10" l="1"/>
  <c r="P12" i="10"/>
  <c r="P10" i="38"/>
  <c r="P9" i="38"/>
  <c r="P8" i="38"/>
  <c r="P12" i="38"/>
  <c r="P11" i="38"/>
  <c r="P10" i="10"/>
  <c r="P11" i="10"/>
  <c r="P8" i="10"/>
  <c r="C16" i="22"/>
  <c r="C24" i="22"/>
  <c r="P9" i="10"/>
  <c r="I9" i="39" l="1"/>
  <c r="I7" i="5"/>
  <c r="M11" i="32" l="1"/>
  <c r="M15" i="32" s="1"/>
  <c r="V30" i="9" s="1"/>
  <c r="V31" i="9" s="1"/>
  <c r="M11" i="35"/>
  <c r="M15" i="35" s="1"/>
  <c r="V30" i="40" s="1"/>
  <c r="V31" i="40" s="1"/>
  <c r="M11" i="14"/>
  <c r="M15" i="14" s="1"/>
  <c r="I12" i="7" s="1"/>
  <c r="I13" i="7" s="1"/>
  <c r="Q8" i="38" s="1"/>
  <c r="R8" i="38" s="1"/>
  <c r="N22" i="40"/>
  <c r="N22" i="9"/>
  <c r="Q9" i="10" l="1"/>
  <c r="R9" i="10" s="1"/>
  <c r="U9" i="10" s="1"/>
  <c r="M8" i="22" s="1"/>
  <c r="Q12" i="38"/>
  <c r="R12" i="38" s="1"/>
  <c r="U12" i="38" s="1"/>
  <c r="M41" i="22" s="1"/>
  <c r="Q11" i="38"/>
  <c r="R11" i="38" s="1"/>
  <c r="T11" i="38" s="1"/>
  <c r="L40" i="22" s="1"/>
  <c r="Q10" i="38"/>
  <c r="R10" i="38" s="1"/>
  <c r="S10" i="38" s="1"/>
  <c r="K39" i="22" s="1"/>
  <c r="Q12" i="10"/>
  <c r="R12" i="10" s="1"/>
  <c r="U12" i="10" s="1"/>
  <c r="M11" i="22" s="1"/>
  <c r="Q8" i="10"/>
  <c r="R8" i="10" s="1"/>
  <c r="Q27" i="38"/>
  <c r="R27" i="38" s="1"/>
  <c r="U27" i="38" s="1"/>
  <c r="M54" i="22" s="1"/>
  <c r="Q29" i="38"/>
  <c r="R29" i="38" s="1"/>
  <c r="S29" i="38" s="1"/>
  <c r="K56" i="22" s="1"/>
  <c r="Q30" i="38"/>
  <c r="R30" i="38" s="1"/>
  <c r="U30" i="38" s="1"/>
  <c r="M57" i="22" s="1"/>
  <c r="Q26" i="38"/>
  <c r="R26" i="38" s="1"/>
  <c r="Q28" i="38"/>
  <c r="R28" i="38" s="1"/>
  <c r="T28" i="38" s="1"/>
  <c r="L55" i="22" s="1"/>
  <c r="Q29" i="10"/>
  <c r="R29" i="10" s="1"/>
  <c r="U29" i="10" s="1"/>
  <c r="M26" i="22" s="1"/>
  <c r="Q26" i="10"/>
  <c r="R26" i="10" s="1"/>
  <c r="U26" i="10" s="1"/>
  <c r="M23" i="22" s="1"/>
  <c r="Q30" i="10"/>
  <c r="R30" i="10" s="1"/>
  <c r="S30" i="10" s="1"/>
  <c r="K27" i="22" s="1"/>
  <c r="Q27" i="10"/>
  <c r="R27" i="10" s="1"/>
  <c r="T27" i="10" s="1"/>
  <c r="L24" i="22" s="1"/>
  <c r="Q28" i="10"/>
  <c r="R28" i="10" s="1"/>
  <c r="U28" i="10" s="1"/>
  <c r="M25" i="22" s="1"/>
  <c r="Q11" i="10"/>
  <c r="R11" i="10" s="1"/>
  <c r="U11" i="10" s="1"/>
  <c r="M10" i="22" s="1"/>
  <c r="Q9" i="38"/>
  <c r="R9" i="38" s="1"/>
  <c r="U9" i="38" s="1"/>
  <c r="M38" i="22" s="1"/>
  <c r="Q10" i="10"/>
  <c r="R10" i="10" s="1"/>
  <c r="U10" i="10" s="1"/>
  <c r="M9" i="22" s="1"/>
  <c r="Q17" i="10"/>
  <c r="R17" i="10" s="1"/>
  <c r="S17" i="10" s="1"/>
  <c r="Q19" i="10"/>
  <c r="Q20" i="10"/>
  <c r="Q21" i="10"/>
  <c r="Q18" i="10"/>
  <c r="U8" i="38"/>
  <c r="M37" i="22" s="1"/>
  <c r="S8" i="38"/>
  <c r="K37" i="22" s="1"/>
  <c r="T8" i="38"/>
  <c r="L37" i="22" s="1"/>
  <c r="P20" i="10"/>
  <c r="P18" i="38"/>
  <c r="T30" i="38" l="1"/>
  <c r="L57" i="22" s="1"/>
  <c r="S12" i="38"/>
  <c r="K41" i="22" s="1"/>
  <c r="S30" i="38"/>
  <c r="K57" i="22" s="1"/>
  <c r="S26" i="10"/>
  <c r="K23" i="22" s="1"/>
  <c r="T26" i="10"/>
  <c r="L23" i="22" s="1"/>
  <c r="T12" i="38"/>
  <c r="L41" i="22" s="1"/>
  <c r="S27" i="38"/>
  <c r="K54" i="22" s="1"/>
  <c r="T27" i="38"/>
  <c r="L54" i="22" s="1"/>
  <c r="U27" i="10"/>
  <c r="M24" i="22" s="1"/>
  <c r="S28" i="38"/>
  <c r="K55" i="22" s="1"/>
  <c r="T29" i="10"/>
  <c r="L26" i="22" s="1"/>
  <c r="U29" i="38"/>
  <c r="M56" i="22" s="1"/>
  <c r="S29" i="10"/>
  <c r="K26" i="22" s="1"/>
  <c r="S28" i="10"/>
  <c r="K25" i="22" s="1"/>
  <c r="T29" i="38"/>
  <c r="L56" i="22" s="1"/>
  <c r="T28" i="10"/>
  <c r="L25" i="22" s="1"/>
  <c r="U28" i="38"/>
  <c r="M55" i="22" s="1"/>
  <c r="S27" i="10"/>
  <c r="K24" i="22" s="1"/>
  <c r="S11" i="10"/>
  <c r="K10" i="22" s="1"/>
  <c r="U11" i="38"/>
  <c r="M40" i="22" s="1"/>
  <c r="T12" i="10"/>
  <c r="L11" i="22" s="1"/>
  <c r="T11" i="10"/>
  <c r="L10" i="22" s="1"/>
  <c r="T8" i="10"/>
  <c r="L7" i="22" s="1"/>
  <c r="I7" i="39" s="1"/>
  <c r="S8" i="10"/>
  <c r="K7" i="22" s="1"/>
  <c r="S12" i="10"/>
  <c r="K11" i="22" s="1"/>
  <c r="T9" i="10"/>
  <c r="L8" i="22" s="1"/>
  <c r="U8" i="10"/>
  <c r="M7" i="22" s="1"/>
  <c r="I8" i="39" s="1"/>
  <c r="S11" i="38"/>
  <c r="K40" i="22" s="1"/>
  <c r="S9" i="10"/>
  <c r="K8" i="22" s="1"/>
  <c r="S10" i="10"/>
  <c r="K9" i="22" s="1"/>
  <c r="T10" i="10"/>
  <c r="L9" i="22" s="1"/>
  <c r="T9" i="38"/>
  <c r="L38" i="22" s="1"/>
  <c r="I10" i="39"/>
  <c r="I11" i="39" s="1"/>
  <c r="T10" i="38"/>
  <c r="L39" i="22" s="1"/>
  <c r="U10" i="38"/>
  <c r="M39" i="22" s="1"/>
  <c r="S9" i="38"/>
  <c r="K38" i="22" s="1"/>
  <c r="U30" i="10"/>
  <c r="M27" i="22" s="1"/>
  <c r="T30" i="10"/>
  <c r="L27" i="22" s="1"/>
  <c r="U26" i="38"/>
  <c r="M53" i="22" s="1"/>
  <c r="S26" i="38"/>
  <c r="K53" i="22" s="1"/>
  <c r="T26" i="38"/>
  <c r="L53" i="22" s="1"/>
  <c r="P17" i="38"/>
  <c r="P20" i="38"/>
  <c r="P21" i="10"/>
  <c r="P18" i="10"/>
  <c r="R18" i="10" s="1"/>
  <c r="P19" i="38"/>
  <c r="P21" i="38"/>
  <c r="P19" i="10"/>
  <c r="Q20" i="38"/>
  <c r="Q19" i="38"/>
  <c r="Q17" i="38"/>
  <c r="Q21" i="38"/>
  <c r="R20" i="10"/>
  <c r="Q18" i="38"/>
  <c r="R18" i="38" s="1"/>
  <c r="R19" i="38" l="1"/>
  <c r="U19" i="38" s="1"/>
  <c r="M47" i="22" s="1"/>
  <c r="I6" i="39"/>
  <c r="R17" i="38"/>
  <c r="S17" i="38" s="1"/>
  <c r="K45" i="22" s="1"/>
  <c r="R21" i="38"/>
  <c r="S21" i="38" s="1"/>
  <c r="K49" i="22" s="1"/>
  <c r="R21" i="10"/>
  <c r="S21" i="10" s="1"/>
  <c r="K19" i="22" s="1"/>
  <c r="R19" i="10"/>
  <c r="S19" i="10" s="1"/>
  <c r="K17" i="22" s="1"/>
  <c r="R20" i="38"/>
  <c r="T20" i="38" s="1"/>
  <c r="L48" i="22" s="1"/>
  <c r="U18" i="10"/>
  <c r="M16" i="22" s="1"/>
  <c r="T18" i="10"/>
  <c r="L16" i="22" s="1"/>
  <c r="S18" i="10"/>
  <c r="K16" i="22" s="1"/>
  <c r="T20" i="10"/>
  <c r="L18" i="22" s="1"/>
  <c r="S20" i="10"/>
  <c r="K18" i="22" s="1"/>
  <c r="U20" i="10"/>
  <c r="M18" i="22" s="1"/>
  <c r="T17" i="10"/>
  <c r="L15" i="22" s="1"/>
  <c r="U17" i="10"/>
  <c r="M15" i="22" s="1"/>
  <c r="K15" i="22"/>
  <c r="U18" i="38"/>
  <c r="M46" i="22" s="1"/>
  <c r="S18" i="38"/>
  <c r="K46" i="22" s="1"/>
  <c r="T18" i="38"/>
  <c r="L46" i="22" s="1"/>
  <c r="U17" i="38" l="1"/>
  <c r="M45" i="22" s="1"/>
  <c r="T19" i="38"/>
  <c r="L47" i="22" s="1"/>
  <c r="S19" i="38"/>
  <c r="K47" i="22" s="1"/>
  <c r="U21" i="10"/>
  <c r="M19" i="22" s="1"/>
  <c r="T21" i="10"/>
  <c r="L19" i="22" s="1"/>
  <c r="U21" i="38"/>
  <c r="M49" i="22" s="1"/>
  <c r="T17" i="38"/>
  <c r="L45" i="22" s="1"/>
  <c r="T21" i="38"/>
  <c r="L49" i="22" s="1"/>
  <c r="S20" i="38"/>
  <c r="K48" i="22" s="1"/>
  <c r="T19" i="10"/>
  <c r="L17" i="22" s="1"/>
  <c r="U20" i="38"/>
  <c r="M48" i="22" s="1"/>
  <c r="U19" i="10"/>
  <c r="M17" i="22" s="1"/>
</calcChain>
</file>

<file path=xl/sharedStrings.xml><?xml version="1.0" encoding="utf-8"?>
<sst xmlns="http://schemas.openxmlformats.org/spreadsheetml/2006/main" count="2216" uniqueCount="508">
  <si>
    <t>Latitude</t>
  </si>
  <si>
    <t>Longitude</t>
  </si>
  <si>
    <t>Dublin</t>
  </si>
  <si>
    <t>Overview</t>
  </si>
  <si>
    <t>or</t>
  </si>
  <si>
    <t>Northing</t>
  </si>
  <si>
    <t>Index</t>
  </si>
  <si>
    <t>Capital Expenditure</t>
  </si>
  <si>
    <t>Operational Expenditure</t>
  </si>
  <si>
    <t>Lighting Data</t>
  </si>
  <si>
    <t>Reference Tables</t>
  </si>
  <si>
    <t>No of Days in Year</t>
  </si>
  <si>
    <t>Scheme Estimate Year</t>
  </si>
  <si>
    <t>Construction Year</t>
  </si>
  <si>
    <t>Scheme Opening Year</t>
  </si>
  <si>
    <t>Road Type</t>
  </si>
  <si>
    <t>BS5489-1 Lighting Class</t>
  </si>
  <si>
    <t>Traffic Growth Factor</t>
  </si>
  <si>
    <t>Proportion of Night Time Accidents</t>
  </si>
  <si>
    <t>Scheme Length (Section by Section)</t>
  </si>
  <si>
    <t>From</t>
  </si>
  <si>
    <t>Distance</t>
  </si>
  <si>
    <t>m/p From</t>
  </si>
  <si>
    <t>m/p To</t>
  </si>
  <si>
    <t>km</t>
  </si>
  <si>
    <t>AADT ('000)</t>
  </si>
  <si>
    <t>Total Scheme Length (km)</t>
  </si>
  <si>
    <t>General Notes</t>
  </si>
  <si>
    <t>Motorway</t>
  </si>
  <si>
    <t>Lanes</t>
  </si>
  <si>
    <t>M1</t>
  </si>
  <si>
    <t>M2</t>
  </si>
  <si>
    <t>M3</t>
  </si>
  <si>
    <t>M4</t>
  </si>
  <si>
    <t>M5</t>
  </si>
  <si>
    <t>M6</t>
  </si>
  <si>
    <t>National Accident Rate</t>
  </si>
  <si>
    <t>Mainline</t>
  </si>
  <si>
    <t>An</t>
  </si>
  <si>
    <t>N1</t>
  </si>
  <si>
    <t xml:space="preserve">β1 </t>
  </si>
  <si>
    <t>Night Time Accident Savings</t>
  </si>
  <si>
    <t>Extra Over Calculation</t>
  </si>
  <si>
    <t>https://gnss.osi.ie/new-converter/</t>
  </si>
  <si>
    <t>Irish Transverse Mercator (ITM) Co-ordinates:</t>
  </si>
  <si>
    <t>Revision</t>
  </si>
  <si>
    <t>Easting</t>
  </si>
  <si>
    <t>All Purpose Dual Carriageway</t>
  </si>
  <si>
    <t xml:space="preserve">Justification for new and replacement lighting on the national road network </t>
  </si>
  <si>
    <t>Table of Contents</t>
  </si>
  <si>
    <t>β</t>
  </si>
  <si>
    <t>Item</t>
  </si>
  <si>
    <t>Quantity</t>
  </si>
  <si>
    <t>Rate</t>
  </si>
  <si>
    <t>Unit</t>
  </si>
  <si>
    <t>No.</t>
  </si>
  <si>
    <t>Raising &amp; Lower 5m with PECU</t>
  </si>
  <si>
    <t>Feeder Pillars</t>
  </si>
  <si>
    <t>Terminations</t>
  </si>
  <si>
    <t>Earth Rods</t>
  </si>
  <si>
    <t>New Electrical Supplies</t>
  </si>
  <si>
    <t>Supervision (5%)</t>
  </si>
  <si>
    <t>Total</t>
  </si>
  <si>
    <t>m</t>
  </si>
  <si>
    <t>Duct Chambers (@ Feeder Pillars)</t>
  </si>
  <si>
    <t>Duct Chambers (@ Junctions)</t>
  </si>
  <si>
    <t>Activity</t>
  </si>
  <si>
    <t>kWhr to CO2 conversion</t>
  </si>
  <si>
    <t>Cost per Year</t>
  </si>
  <si>
    <t>Lighting Maintenance Cost</t>
  </si>
  <si>
    <t>km/yr</t>
  </si>
  <si>
    <t>Tonnes</t>
  </si>
  <si>
    <t>kWhr</t>
  </si>
  <si>
    <t xml:space="preserve">Energy </t>
  </si>
  <si>
    <t>-</t>
  </si>
  <si>
    <t>Total Per Year</t>
  </si>
  <si>
    <t>Based on UK Highways England document TA 49/07</t>
  </si>
  <si>
    <t>Total Energy Opening Year (EC):</t>
  </si>
  <si>
    <t>CF is Capitalisation Factor</t>
  </si>
  <si>
    <t>d is discount rate (in %)</t>
  </si>
  <si>
    <t>X = {1+(e/100)}/{1+(d/100)}</t>
  </si>
  <si>
    <r>
      <t>CF (energy) = (1-X</t>
    </r>
    <r>
      <rPr>
        <vertAlign val="superscript"/>
        <sz val="10"/>
        <rFont val="Arial"/>
        <family val="2"/>
      </rPr>
      <t>a+1</t>
    </r>
    <r>
      <rPr>
        <sz val="10"/>
        <rFont val="Arial"/>
        <family val="2"/>
      </rPr>
      <t>)/(1-X)</t>
    </r>
  </si>
  <si>
    <r>
      <t xml:space="preserve">OYMC </t>
    </r>
    <r>
      <rPr>
        <vertAlign val="subscript"/>
        <sz val="10"/>
        <rFont val="Arial"/>
        <family val="2"/>
      </rPr>
      <t>(energy component)</t>
    </r>
    <r>
      <rPr>
        <sz val="10"/>
        <rFont val="Arial"/>
        <family val="2"/>
      </rPr>
      <t xml:space="preserve"> = EC x (CF</t>
    </r>
    <r>
      <rPr>
        <vertAlign val="subscript"/>
        <sz val="10"/>
        <rFont val="Arial"/>
        <family val="2"/>
      </rPr>
      <t>(energy)</t>
    </r>
    <r>
      <rPr>
        <sz val="10"/>
        <rFont val="Arial"/>
        <family val="2"/>
      </rPr>
      <t xml:space="preserve"> / CF)</t>
    </r>
  </si>
  <si>
    <t>Standard Lighting</t>
  </si>
  <si>
    <t>Burn Profiles</t>
  </si>
  <si>
    <t>Standard Lighting Provision</t>
  </si>
  <si>
    <t>Dimming Profile</t>
  </si>
  <si>
    <t>Bright</t>
  </si>
  <si>
    <t>Dim</t>
  </si>
  <si>
    <t>*Part Night Switch Off is assumed to be between - Sunset to 23:30 and 06:30 to Sunrise)</t>
  </si>
  <si>
    <t>Bright (Hr)</t>
  </si>
  <si>
    <t>% Dimming</t>
  </si>
  <si>
    <t>Energy Consumption</t>
  </si>
  <si>
    <t>Energy Tariff</t>
  </si>
  <si>
    <t>Energy Costs</t>
  </si>
  <si>
    <t>Year</t>
  </si>
  <si>
    <t>Factor</t>
  </si>
  <si>
    <t>Motorways</t>
  </si>
  <si>
    <t>Single</t>
  </si>
  <si>
    <t>Dual</t>
  </si>
  <si>
    <t>Opening Year</t>
  </si>
  <si>
    <t>Assessment Period</t>
  </si>
  <si>
    <t>RPI</t>
  </si>
  <si>
    <t>Lighting Wattage (Kw)</t>
  </si>
  <si>
    <t>Nominal Column Spacing (m)</t>
  </si>
  <si>
    <t>Oldest</t>
  </si>
  <si>
    <t>Latest</t>
  </si>
  <si>
    <t>Scheme Name</t>
  </si>
  <si>
    <t>Darkness PIA Savings on Links due to Road Lighting</t>
  </si>
  <si>
    <t>Type of Link</t>
  </si>
  <si>
    <r>
      <t>A</t>
    </r>
    <r>
      <rPr>
        <i/>
        <vertAlign val="superscript"/>
        <sz val="10"/>
        <rFont val="Arial"/>
        <family val="2"/>
      </rPr>
      <t>1</t>
    </r>
  </si>
  <si>
    <r>
      <rPr>
        <vertAlign val="superscript"/>
        <sz val="8"/>
        <color theme="0" tint="-0.499984740745262"/>
        <rFont val="Arial"/>
        <family val="2"/>
      </rPr>
      <t>1</t>
    </r>
    <r>
      <rPr>
        <sz val="8"/>
        <color theme="0" tint="-0.499984740745262"/>
        <rFont val="Arial"/>
        <family val="2"/>
      </rPr>
      <t xml:space="preserve"> Percentage darkness PIA saving due to road lighting</t>
    </r>
  </si>
  <si>
    <t>Average Cost</t>
  </si>
  <si>
    <t>Profile 1</t>
  </si>
  <si>
    <t>Profile 2A</t>
  </si>
  <si>
    <t>Trimming Only (LED)</t>
  </si>
  <si>
    <t>1 Step Dimming - Standard Period</t>
  </si>
  <si>
    <t>Profile 2B</t>
  </si>
  <si>
    <t>Profile 2C</t>
  </si>
  <si>
    <t>1 Step Dimming - Extended Period</t>
  </si>
  <si>
    <t>Profile 3A</t>
  </si>
  <si>
    <t>Profile 3B</t>
  </si>
  <si>
    <t>Profile 3C</t>
  </si>
  <si>
    <t>Multi Step (2 Steps) Dimming</t>
  </si>
  <si>
    <t>Dim 1</t>
  </si>
  <si>
    <t>Dim 2</t>
  </si>
  <si>
    <t>Profile 4A</t>
  </si>
  <si>
    <t>Profile 4B</t>
  </si>
  <si>
    <t>Profile 4C</t>
  </si>
  <si>
    <t>Profile 4D</t>
  </si>
  <si>
    <t>Profile</t>
  </si>
  <si>
    <t>Energy Cost</t>
  </si>
  <si>
    <t>Summary</t>
  </si>
  <si>
    <t>Part-Night Switch Off*</t>
  </si>
  <si>
    <t>Part-Night Switch Off</t>
  </si>
  <si>
    <t>PNSO</t>
  </si>
  <si>
    <t>Discount Factor</t>
  </si>
  <si>
    <t>Dimming Regime</t>
  </si>
  <si>
    <t>Index (Current Page)</t>
  </si>
  <si>
    <t>Sensitivity Testing</t>
  </si>
  <si>
    <t>Energy Calculations</t>
  </si>
  <si>
    <t>Energy Consumption by Profile</t>
  </si>
  <si>
    <t>Sub-Total</t>
  </si>
  <si>
    <t>Base Year</t>
  </si>
  <si>
    <t>Ao</t>
  </si>
  <si>
    <t>Baseline Assessment</t>
  </si>
  <si>
    <t>Section</t>
  </si>
  <si>
    <t>To</t>
  </si>
  <si>
    <t>m/p Start</t>
  </si>
  <si>
    <t>m/p end</t>
  </si>
  <si>
    <t>Construction Year Discount Factor</t>
  </si>
  <si>
    <t>Opening Year Discount Factor</t>
  </si>
  <si>
    <t>Opening Year PIA Saving</t>
  </si>
  <si>
    <t>PVB</t>
  </si>
  <si>
    <t>Year of Cost Estimate</t>
  </si>
  <si>
    <t>PVC CAPEX</t>
  </si>
  <si>
    <t>PVC OPEX</t>
  </si>
  <si>
    <t>Total PVC</t>
  </si>
  <si>
    <t>NPV</t>
  </si>
  <si>
    <t>BCR</t>
  </si>
  <si>
    <t>FYRR</t>
  </si>
  <si>
    <t>Total Accident Savings</t>
  </si>
  <si>
    <t>% of Scheme length</t>
  </si>
  <si>
    <t>Project Number</t>
  </si>
  <si>
    <t>Average</t>
  </si>
  <si>
    <t>Average Rate</t>
  </si>
  <si>
    <t>Electrical Isolation System</t>
  </si>
  <si>
    <t>Column (Steel) + Lantern</t>
  </si>
  <si>
    <t>Cost</t>
  </si>
  <si>
    <t>User Defined Data</t>
  </si>
  <si>
    <t>Duct Chambers(@Junctions)</t>
  </si>
  <si>
    <t>Energy Kw/hr Price</t>
  </si>
  <si>
    <t>Scenario 1</t>
  </si>
  <si>
    <t>Date</t>
  </si>
  <si>
    <t>Results (Detailed)</t>
  </si>
  <si>
    <t>Summary of Results</t>
  </si>
  <si>
    <t>All Purpose Single Carriageway</t>
  </si>
  <si>
    <t>Lighting Wattage (W)</t>
  </si>
  <si>
    <t>Scheme Entry - Baseline</t>
  </si>
  <si>
    <t>Sensitivity Analysis Scenario 1</t>
  </si>
  <si>
    <t>Sensitivity Analysis Scenario 2</t>
  </si>
  <si>
    <t>Discount Rate</t>
  </si>
  <si>
    <t>Years</t>
  </si>
  <si>
    <t>Capitalisation Factors</t>
  </si>
  <si>
    <t>Periods (Yrs)</t>
  </si>
  <si>
    <t>(Default 5%)</t>
  </si>
  <si>
    <t>Inflation Rate</t>
  </si>
  <si>
    <t>(Default 2.4%)</t>
  </si>
  <si>
    <t>Border</t>
  </si>
  <si>
    <t>West</t>
  </si>
  <si>
    <t>Mid-West</t>
  </si>
  <si>
    <t>Midland</t>
  </si>
  <si>
    <t>South-East</t>
  </si>
  <si>
    <t>South-West</t>
  </si>
  <si>
    <t>Region</t>
  </si>
  <si>
    <t>LV</t>
  </si>
  <si>
    <t>HV</t>
  </si>
  <si>
    <t>Project Appraisal Guidelines for National Roads Unit 5.3 - Travel Demand Projections - Table 5.3.2</t>
  </si>
  <si>
    <t>NTpM Adjustment Factors by Road Type</t>
  </si>
  <si>
    <t>Network
Classification</t>
  </si>
  <si>
    <t>CARS (1)</t>
  </si>
  <si>
    <t>LGC (2)</t>
  </si>
  <si>
    <t>OGV1 (3)</t>
  </si>
  <si>
    <t>OGV (4)</t>
  </si>
  <si>
    <t>PSV (5)</t>
  </si>
  <si>
    <t>Low Sensitivity Growth</t>
  </si>
  <si>
    <t>Central Growth</t>
  </si>
  <si>
    <t>High Sensitivity Growth</t>
  </si>
  <si>
    <t>2013 - 2030</t>
  </si>
  <si>
    <t>2030 - 2050</t>
  </si>
  <si>
    <t>National Primary</t>
  </si>
  <si>
    <t>National Secondary</t>
  </si>
  <si>
    <t>Mid-East</t>
  </si>
  <si>
    <t>Project Appraisal Guidelines</t>
  </si>
  <si>
    <t xml:space="preserve"> National Roads Unit 6.11 - National Parameters</t>
  </si>
  <si>
    <t>Table 5: Average Value of Prevention of Collisions (Factor Costs, 2011 Prices)</t>
  </si>
  <si>
    <t>Collision Severity</t>
  </si>
  <si>
    <t>Casualty related costs</t>
  </si>
  <si>
    <t>Lost output</t>
  </si>
  <si>
    <t>Human costs</t>
  </si>
  <si>
    <t>Medical &amp; Ambulance</t>
  </si>
  <si>
    <t>Gardai cost</t>
  </si>
  <si>
    <t>Damage to property</t>
  </si>
  <si>
    <t>Insurance &amp; admin</t>
  </si>
  <si>
    <t>Collision related costs</t>
  </si>
  <si>
    <t>Fatal</t>
  </si>
  <si>
    <t>Serious</t>
  </si>
  <si>
    <t>Slight</t>
  </si>
  <si>
    <t>Damage only</t>
  </si>
  <si>
    <t>Collision Type</t>
  </si>
  <si>
    <r>
      <t>Value (</t>
    </r>
    <r>
      <rPr>
        <b/>
        <sz val="10"/>
        <rFont val="Calibri"/>
        <family val="2"/>
      </rPr>
      <t>€</t>
    </r>
    <r>
      <rPr>
        <b/>
        <sz val="10"/>
        <rFont val="Arial"/>
        <family val="2"/>
      </rPr>
      <t>)</t>
    </r>
  </si>
  <si>
    <t>Table 6: Collision Costs (Factor Costs, 2011 Prices)</t>
  </si>
  <si>
    <t>Annual Growth Factor</t>
  </si>
  <si>
    <t>2010 - 2014</t>
  </si>
  <si>
    <t>2015 - 2019</t>
  </si>
  <si>
    <t>Table 7: Value of Collisions Growth Factors</t>
  </si>
  <si>
    <t>2020 - 2024</t>
  </si>
  <si>
    <t>2025 - 2030+</t>
  </si>
  <si>
    <t>Table 23: Link and Junction Combined Collision Rates</t>
  </si>
  <si>
    <t>Collision rate PIC/mvkm</t>
  </si>
  <si>
    <t>Speed Limit</t>
  </si>
  <si>
    <t>2 Lane Single Carriageway</t>
  </si>
  <si>
    <t>Dual Carriageway</t>
  </si>
  <si>
    <t>2+1 with Central Reserve Barrier</t>
  </si>
  <si>
    <t>2+1 without Central Reserve Barrier</t>
  </si>
  <si>
    <t>1 Way</t>
  </si>
  <si>
    <t>PIC/mvkm</t>
  </si>
  <si>
    <t>≤ 60 kph</t>
  </si>
  <si>
    <t xml:space="preserve"> &gt; 60 kph</t>
  </si>
  <si>
    <t>Table 24: Link and Junction Combined Collision Proportions</t>
  </si>
  <si>
    <t>Minor</t>
  </si>
  <si>
    <t>Collision Proportions</t>
  </si>
  <si>
    <t>Casualty severity</t>
  </si>
  <si>
    <t xml:space="preserve">Table 25: Average Number of Casualties per Collision
</t>
  </si>
  <si>
    <t>Casualties per PIC</t>
  </si>
  <si>
    <t>Collision rate reduction factor</t>
  </si>
  <si>
    <t>Table 26: Collision Reduction () Factors</t>
  </si>
  <si>
    <t>Casualties per Collision change factor:
Fatal, Serious, Minor</t>
  </si>
  <si>
    <t>0.978,0.979,1.002</t>
  </si>
  <si>
    <t>0.971,0.995,1.001</t>
  </si>
  <si>
    <t xml:space="preserve">0.998,0.99,1.002 </t>
  </si>
  <si>
    <t xml:space="preserve">0.971,0.995,1.001 </t>
  </si>
  <si>
    <t>0.979,0.983,1.002</t>
  </si>
  <si>
    <t>0.984,0.985,0.998</t>
  </si>
  <si>
    <t>Irish Grid Co-ordinates (Required):</t>
  </si>
  <si>
    <t>% of Length</t>
  </si>
  <si>
    <t>to jct 1</t>
  </si>
  <si>
    <t>to jct 2</t>
  </si>
  <si>
    <t>to jct 3</t>
  </si>
  <si>
    <t>to jct 4</t>
  </si>
  <si>
    <t>from jct 1</t>
  </si>
  <si>
    <t>from jct 2</t>
  </si>
  <si>
    <t>from jct 3</t>
  </si>
  <si>
    <t>Consumer Price Index</t>
  </si>
  <si>
    <t>http://www.cso.ie/multiquicktables/quickTables.aspx?id=cpm02_cpa04_8</t>
  </si>
  <si>
    <t>NTpM Capitalisation Adjustment Factors by Road Type</t>
  </si>
  <si>
    <t>NTpM Adjustment Factor</t>
  </si>
  <si>
    <t>CRRF</t>
  </si>
  <si>
    <t>After accident rate reduction</t>
  </si>
  <si>
    <t>Road</t>
  </si>
  <si>
    <t>NTpM Capitalisation Adjustment Factors</t>
  </si>
  <si>
    <t>2013-2030</t>
  </si>
  <si>
    <t>2030-2050</t>
  </si>
  <si>
    <t>2050-2054</t>
  </si>
  <si>
    <t>Central Sensitivity Growth</t>
  </si>
  <si>
    <t>&gt;60</t>
  </si>
  <si>
    <t>Segregated</t>
  </si>
  <si>
    <t>&lt;60</t>
  </si>
  <si>
    <t>Non.-Segregated</t>
  </si>
  <si>
    <t>Other</t>
  </si>
  <si>
    <t>Travel Demand Projections</t>
  </si>
  <si>
    <t>Est.</t>
  </si>
  <si>
    <t>All Purpose Roads
(60kph or less)</t>
  </si>
  <si>
    <t>All Purpose Roads
(60kph or more)</t>
  </si>
  <si>
    <t>Central</t>
  </si>
  <si>
    <t>Capitalisation Factor for Maintenance</t>
  </si>
  <si>
    <t>Capitalisation Factor for Accident Benefits</t>
  </si>
  <si>
    <t>Night Time Accident Cost</t>
  </si>
  <si>
    <t>Proportion of Night time Accidents</t>
  </si>
  <si>
    <t>Lighting Maintenance Costs (km/yr)</t>
  </si>
  <si>
    <t>Include assumptions</t>
  </si>
  <si>
    <t>Brief Description of Project/Works</t>
  </si>
  <si>
    <t>Carriageway Type</t>
  </si>
  <si>
    <t>Single (&lt;60kph)</t>
  </si>
  <si>
    <t>Dual (&lt;60kph)</t>
  </si>
  <si>
    <t>Single (&gt;60kph)</t>
  </si>
  <si>
    <t>Dual (&gt;60kph)</t>
  </si>
  <si>
    <t>Mainline National Accident Rate</t>
  </si>
  <si>
    <t>β1  Values</t>
  </si>
  <si>
    <t>Single(&gt;60kph)</t>
  </si>
  <si>
    <t>A0 Values</t>
  </si>
  <si>
    <t>Lanes (Per Direction)</t>
  </si>
  <si>
    <t>Total Kwhr/Yr</t>
  </si>
  <si>
    <t>Maintenance Cost (per column)</t>
  </si>
  <si>
    <t>Start</t>
  </si>
  <si>
    <t>End</t>
  </si>
  <si>
    <t>Col</t>
  </si>
  <si>
    <t>Carbon Tax</t>
  </si>
  <si>
    <t>Total Energy Consumption (kWhr)</t>
  </si>
  <si>
    <t>Carriageways</t>
  </si>
  <si>
    <t>Feeder Pillar Spacing (m)</t>
  </si>
  <si>
    <t>Default Estimates</t>
  </si>
  <si>
    <t>High Growth</t>
  </si>
  <si>
    <t>Speed</t>
  </si>
  <si>
    <t>1234/AB</t>
  </si>
  <si>
    <t>Hypothetical Scheme to undertake an initial text of spreadsheet</t>
  </si>
  <si>
    <t>LG</t>
  </si>
  <si>
    <t>CG</t>
  </si>
  <si>
    <t>HG</t>
  </si>
  <si>
    <t>Scheme Section</t>
  </si>
  <si>
    <t xml:space="preserve">All-Day National Average Values of Accidents (2011 market prices) </t>
  </si>
  <si>
    <t>Night Time National Average Values of Accidents (2011 market prices)</t>
  </si>
  <si>
    <t>Notes:</t>
  </si>
  <si>
    <t>single</t>
  </si>
  <si>
    <t>dual</t>
  </si>
  <si>
    <t>Market Costs</t>
  </si>
  <si>
    <t>Value</t>
  </si>
  <si>
    <t xml:space="preserve">Value </t>
  </si>
  <si>
    <t>Collision Costs</t>
  </si>
  <si>
    <t>Collision Cost per Collision Proportion</t>
  </si>
  <si>
    <t xml:space="preserve">Market Prices have been derived from PE-PAG-02030 Table 6: Collision Costs 2011 Factor Costs x 1.183 </t>
  </si>
  <si>
    <t>PE-PAG-02030 Table 24 used to derive an overall all day accident cost using accident proportions for fatal, serious and slight for different road types/speeds</t>
  </si>
  <si>
    <t xml:space="preserve">2011 cost of all day accidents based on an annual increase of 1.75% </t>
  </si>
  <si>
    <t>Night time accident cost only is based on an uplift of 17% of all day accident cost with exception of motorways (15%)</t>
  </si>
  <si>
    <t>Historical Figures (Night) - 5yrs:</t>
  </si>
  <si>
    <t>Lighting Class</t>
  </si>
  <si>
    <t>Power Consumption (Wattage) per column</t>
  </si>
  <si>
    <t>Road Lighting Column Spacing</t>
  </si>
  <si>
    <t>Summary of Results (Historical Accident Figures)</t>
  </si>
  <si>
    <t>Summary of Results (National Accident Rate Figures)</t>
  </si>
  <si>
    <t>Preparation (9%)</t>
  </si>
  <si>
    <t>Preparation (default 9%)</t>
  </si>
  <si>
    <t>Supervision (default 5%)</t>
  </si>
  <si>
    <t>Low Rate</t>
  </si>
  <si>
    <t>High Rather</t>
  </si>
  <si>
    <t>User Defined Rate</t>
  </si>
  <si>
    <t>Column (Passive) + Lantern</t>
  </si>
  <si>
    <t>Cabling &amp; Ducting</t>
  </si>
  <si>
    <t>Trenching</t>
  </si>
  <si>
    <t>Junctions</t>
  </si>
  <si>
    <t>Present Value Year</t>
  </si>
  <si>
    <t>Brief Description of Sensitivities Applied</t>
  </si>
  <si>
    <t>Lighting Evaluation Notes</t>
  </si>
  <si>
    <t>Lighting Evaluation of the Mainline</t>
  </si>
  <si>
    <t>Appraisal Criteria</t>
  </si>
  <si>
    <t>Appraisal Sub-Criteria</t>
  </si>
  <si>
    <t>Appraisal Criteria Score</t>
  </si>
  <si>
    <t>Safety</t>
  </si>
  <si>
    <t>Economy</t>
  </si>
  <si>
    <t>Integration</t>
  </si>
  <si>
    <t>Physical Activity</t>
  </si>
  <si>
    <t>Biodiversity</t>
  </si>
  <si>
    <t>Security</t>
  </si>
  <si>
    <t>Integration with other government policies</t>
  </si>
  <si>
    <t>Summary Table</t>
  </si>
  <si>
    <t>e = 10% (unless otherwise directed by TII)</t>
  </si>
  <si>
    <t xml:space="preserve">DN-LHT-03038 </t>
  </si>
  <si>
    <t>July 2018</t>
  </si>
  <si>
    <t>Lighting Evaluation Tool &amp; Justification for Lighting the Mainline</t>
  </si>
  <si>
    <t>Appendix B1</t>
  </si>
  <si>
    <t>Scheme:</t>
  </si>
  <si>
    <t>Project:</t>
  </si>
  <si>
    <t>Date:</t>
  </si>
  <si>
    <t>Revision:</t>
  </si>
  <si>
    <t>Cover Sheet</t>
  </si>
  <si>
    <t>.</t>
  </si>
  <si>
    <t>Annual 'Burn' Hours</t>
  </si>
  <si>
    <t>(Default 4100)</t>
  </si>
  <si>
    <t>Grove Park Drive</t>
  </si>
  <si>
    <t>The 'Average Rate' is based upon the low and high rates and can be overwritten by the user</t>
  </si>
  <si>
    <t>Environment</t>
  </si>
  <si>
    <t>Landscape &amp; visual quality</t>
  </si>
  <si>
    <t>Cultural, Archaeological, Architectural Heritage</t>
  </si>
  <si>
    <t>Collision reduction</t>
  </si>
  <si>
    <t>Economic Cost</t>
  </si>
  <si>
    <t>Accessibility &amp; Social Exclusion</t>
  </si>
  <si>
    <t xml:space="preserve">Vulnerable groups </t>
  </si>
  <si>
    <t>Journey Ambience</t>
  </si>
  <si>
    <t>Severance</t>
  </si>
  <si>
    <t>Objectives</t>
  </si>
  <si>
    <t>Quantitative Statement</t>
  </si>
  <si>
    <t>Sub-criteria Performance Description</t>
  </si>
  <si>
    <t>Sub-criteria Score</t>
  </si>
  <si>
    <t>NPV (€m)</t>
  </si>
  <si>
    <t>PVB (€m)</t>
  </si>
  <si>
    <t>PVC (CAPEX) (€m)</t>
  </si>
  <si>
    <t>PVC (OPEX) (€m)</t>
  </si>
  <si>
    <t>PVC (Total) (€m)</t>
  </si>
  <si>
    <t>Description</t>
  </si>
  <si>
    <t>Problems Identified</t>
  </si>
  <si>
    <t>Opening Year Collisions Savings:</t>
  </si>
  <si>
    <t>30 year Collisions Savings:</t>
  </si>
  <si>
    <t>Route No.</t>
  </si>
  <si>
    <t>Opening Year AADT</t>
  </si>
  <si>
    <t>Scheme Length</t>
  </si>
  <si>
    <t>Safety Scoring Guidance</t>
  </si>
  <si>
    <t>Collision savings &gt;15 over 30 year assessment period</t>
  </si>
  <si>
    <t>Collision savings &gt;7 and &lt; 15 over 30 year assessment period</t>
  </si>
  <si>
    <t>Collision savings &gt;3 and &lt; 7 over 30 year assessment period</t>
  </si>
  <si>
    <t>Collision savings &gt;1 and &lt; 3 over 30 year assessment period</t>
  </si>
  <si>
    <t>Collision savings &lt;1 over 30 year assessment period</t>
  </si>
  <si>
    <t>Economy Scoring Guidance</t>
  </si>
  <si>
    <t>BCR &gt; 3</t>
  </si>
  <si>
    <t>BCR &gt; 2 and &lt; 3</t>
  </si>
  <si>
    <t>BCR &gt; 1.5 and &lt; 2</t>
  </si>
  <si>
    <t>BCR &gt; 1 and &lt;1.5</t>
  </si>
  <si>
    <t>BCR &gt; 0.5 and &lt; 1</t>
  </si>
  <si>
    <t>BCR &gt; 0.25 and &lt; 0.5</t>
  </si>
  <si>
    <t>BCR &lt; 0.25</t>
  </si>
  <si>
    <t>Major or highly positive</t>
  </si>
  <si>
    <t>Moderately positive</t>
  </si>
  <si>
    <t>Minor or slightly positive</t>
  </si>
  <si>
    <t>Not significant or Neutral</t>
  </si>
  <si>
    <t>Minor or slightly negative</t>
  </si>
  <si>
    <t>Moderately negative</t>
  </si>
  <si>
    <t>Major or highly negative</t>
  </si>
  <si>
    <t>Sub Criteria Scale:</t>
  </si>
  <si>
    <t>Overall Appraisal Score</t>
  </si>
  <si>
    <t>Maintenance Cost (per Column)</t>
  </si>
  <si>
    <t>Night Time Accident Saving increased from 10% to 20%. No RPI extra Over for Energy. Lower CAPEX and KWhr rate</t>
  </si>
  <si>
    <t>Capital Expenditure Total</t>
  </si>
  <si>
    <t>Operational Expenditure Total</t>
  </si>
  <si>
    <t>Capitalisation Factor - Maintenance</t>
  </si>
  <si>
    <t>Capitalisation Factor - Accident Benefits</t>
  </si>
  <si>
    <t>Scenario 2</t>
  </si>
  <si>
    <t>National Accident Rate Figures</t>
  </si>
  <si>
    <t>Historical Accident Rates</t>
  </si>
  <si>
    <t>Sensitivity 1</t>
  </si>
  <si>
    <t>Sensitivity Test - 1</t>
  </si>
  <si>
    <t>Sensitivity Test - 2</t>
  </si>
  <si>
    <t>Capitalisation Adjustment Factors</t>
  </si>
  <si>
    <r>
      <t>An = (Ao x β1</t>
    </r>
    <r>
      <rPr>
        <vertAlign val="superscript"/>
        <sz val="11"/>
        <rFont val="Arial"/>
        <family val="2"/>
      </rPr>
      <t>N1</t>
    </r>
    <r>
      <rPr>
        <sz val="11"/>
        <rFont val="Arial"/>
        <family val="2"/>
      </rPr>
      <t>)</t>
    </r>
  </si>
  <si>
    <t>Where</t>
  </si>
  <si>
    <t>National Average Value of Accidents for All-Day and Night Time</t>
  </si>
  <si>
    <t>RPI Energy Component (%)</t>
  </si>
  <si>
    <t>CAPEX and OPEX Sensitivity Testing 1</t>
  </si>
  <si>
    <t>OFF</t>
  </si>
  <si>
    <t>User Defined Values</t>
  </si>
  <si>
    <t>Default Values</t>
  </si>
  <si>
    <t>CAPEX and OPEX Sensitivity Testing 2</t>
  </si>
  <si>
    <t>Results - National Accident Rate Figures (Detailed)</t>
  </si>
  <si>
    <t>Results - Historical Accident Rates (Detailed)</t>
  </si>
  <si>
    <t>Burn Profiles Sensitivity Testing 1</t>
  </si>
  <si>
    <t>Burn Profiles Sensitivity Testing 2</t>
  </si>
  <si>
    <t>Energy Sensitivity Testing 1</t>
  </si>
  <si>
    <t>Energy Sensitivity Testing 2</t>
  </si>
  <si>
    <t>Worksheet</t>
  </si>
  <si>
    <t>National Roads Unit 6.11 - National Parameters</t>
  </si>
  <si>
    <t>Project Lighting Assessment Balance Scorecard</t>
  </si>
  <si>
    <t>Balance Scorecard</t>
  </si>
  <si>
    <t xml:space="preserve"> </t>
  </si>
  <si>
    <t>Purpose of the Lighting Evaluation Tool</t>
  </si>
  <si>
    <t>Implementation of the Lighting Appraisal Tool</t>
  </si>
  <si>
    <t>Lighting Assessment - Balanced Scorecard</t>
  </si>
  <si>
    <t>Scheme Entry – Baseline</t>
  </si>
  <si>
    <r>
      <t xml:space="preserve">The baseline data sheet is used to enter key parameters for the economic assessment.
Data Entry by the User is denoted by a blue cell
Data Entry has been limited to just a few excel tabs in order to simplify the process for the user.
The assessment period for lighting on the National road network is generally 30 years.
Opening year benefits and costs are calculated, and a capitalisation factor is applied to cover the assessment period.
The default starting year for the assessment is 2011, and the user should enter the scheme estimate, construction and opening years.
The user may enter custom material and inflation rates, with the default rates being 5% and 2.4% respectfully. These are to be used unless otherwise indicated by TII.
Limited knowledge of lighting design is required to use this tool. The selection of lighting class will automatically derive column spacing’s and lamp wattages in order to derive quantities and energy consumption figures. A selection of different dimming profiles [unmetered] can be used to determine energy component cost for the assessment period life cycle.
Feeder Pillars are based on a nominal 500m spacing, this is subject to site conditions and the provision of DNO availability, therefore the user may enter more a scheme specific value.
A minimum cost per column should be entered. If unknown use €25 per column.
The last known energy tariff should be entered.
</t>
    </r>
    <r>
      <rPr>
        <sz val="10"/>
        <color theme="1" tint="0.499984740745262"/>
        <rFont val="Arial"/>
        <family val="2"/>
      </rPr>
      <t xml:space="preserve">NOTE: The ability to include a ‘Carbon tax’ rate has been included within the assessment tool, however, it should be set to €0 as it is not currently used.
It is expected that the RPI for energy will outstrip the standard RPI rate and an extra over figure can be applied if required. TII shall be consulted to obtain an agreed extra over rate.
</t>
    </r>
    <r>
      <rPr>
        <sz val="10"/>
        <rFont val="Arial"/>
        <family val="2"/>
      </rPr>
      <t xml:space="preserve">
A nominal figure of 4100 for annual burn hours should generally be used for the purpose of this assessment. 
A default value of 10% is used as a baseline measurement of night time accident savings, and shouldn’t change, subject to the table below or without prior TII consultation. </t>
    </r>
  </si>
  <si>
    <t>This assessment tool is used to support the provision of lighting on the Mainline of the National Road Network.  Mainline road lighting on the National Road network is generally restricted to urban location with the Mainline on the remaining network being predominantly unlit.
A Departure from Standard is required for mainline lighting which shall be supported, with appropriate justification, by this evaluation tool.
A balanced assessment for the provision of lighting should be undertaken.  The primary justification for lighting is for it being used as a safety measure to reduce night time collisions.</t>
  </si>
  <si>
    <t xml:space="preserve">This tool should be used when undertaking an appraisal of any new lighting on a project or replacement lighting that has life expired (typically 30 years).  This tool is not for the retro fit of existing luminaires with LED where the lighting infrastructure is not life expired.
This tool is for mainline lighting only.  Grade Separated Junctions in Ireland are generally lit without the need for undertaking economic justification.
</t>
  </si>
  <si>
    <t>For new roads the national accident rate should be applied in order to calculate opening year benefits.  For existing roads, the national accident rate can also be applied or rates can be determined using historical accident data during the hours of darkness. 
This scheme information data entry sheet used to capture general scheme information,
In order to provide accurate scheme co-ordinates please visit the, Ordnance Survey Ireland (OSI) Web Co-ordinate Convertor, which is available at https://gnss.osi.ie/new-converter/
For further information on the Lighting Evaluation Tool &amp; Justification for Lighting the Mainline, please refer to Design Standard DN-LHT-03038, Appendix B1.</t>
  </si>
  <si>
    <t>It is recognised that in some instances ad hoc limited provision is required by local authorities on the National Road network and this lighting assessment tool is not applicable in these instances.  TII have developed a separate simplified assessment tool for these situations and TII should be consulted in this instance.
The provision of lighting on the Mainline should be assessed against the following criteria:
   1. Environment
   2. Safety
   3. Economy
   4. Accessibility &amp; Social Exclusion
   5. Integration
   6. Physical Activity</t>
  </si>
  <si>
    <t>Capital Expenditure Costs</t>
  </si>
  <si>
    <t>Operational (Revenue) Expenditure Costs</t>
  </si>
  <si>
    <t>Results</t>
  </si>
  <si>
    <t>Additional Information</t>
  </si>
  <si>
    <t>Sheets 21 to 26 are for information purposes only and used to derive the calculations.</t>
  </si>
  <si>
    <t>Burn profiles and the split of burn hours for dim and bright have been calculated prior to confirmation of hours from ESB Networks. The figures used can be overwritten if required, however it is envisaged that the actual figures from ESBN will not significantly affect the results of the assessment.</t>
  </si>
  <si>
    <t>Capital Expenditure for the component parts of a road lighting system have been determined using an average rate based on low and high prices for items. The Average cost can be overridden with user defined rates, if required.
Preparation (9%) and supervision costs (5%) of the capital works costs have been allowed when determining the overall Capital expenditure costs.
20% of the capital expenditure for the lighting works has been used for risk and optimum bias purposes.</t>
  </si>
  <si>
    <t>The component parts that make up the Operational cost include Column maintenance, Carbon Tax and the Energy cost per year.
The per column cost and the ‘Carbon tax’ (which is not currently used) are pulled from the baseline data and the Energy Cost is referenced from the Energy Calculations sheet, which again is derived from the entered as Baseline figures.</t>
  </si>
  <si>
    <t xml:space="preserve">The assessment tool also allows the sensitivity analysis to be undertaken so that scheme options can be undertaken.  Adjustment can be made to number of components that include:
   • BS lighting class (which can alter spacing and lighting unit wattage)
   • Adjustment to capital cost rates
   • Changes made to proportion of night time accidents and the night time accident saving percentage
   • Different dimming profiles
   • Lighting maintenance costs including carbon reduction tax and kW/hr tariff for energy
   • Extra over RFI inflation cost for energy
The Tool allows the user to compare two different scenarios against the baseline figures to determine if there are more scheme specific benefits from making slight adjustment to the overall lighting design. </t>
  </si>
  <si>
    <t>The Tool will automatically derive the figures for both Historical and National accident rate (subject to user data entry)
The Results also include the sensitivity testing figures to allow for a side-by-side comparison.</t>
  </si>
  <si>
    <t>Spacing/Wattage vs class based on photometric data at the time of compiling the tool. Default values identical but user defined can be used if required.
Energy calculation shows baseline energy cost figures across all dimming profiles. The results at RPI extra over effect is also shown for information.
Calculations are also provided for two sensitivity tests.</t>
  </si>
  <si>
    <t>Sensitivity 2</t>
  </si>
  <si>
    <t>Data Entry by the User is denoted by a blue cell:</t>
  </si>
  <si>
    <t>(Not used)</t>
  </si>
  <si>
    <t>Carbon Tax (Not used)</t>
  </si>
  <si>
    <t xml:space="preserve">Traffic growth varies by region and is affected by numerous factors including vehicle classification and road type. As such, these factors need to be defined within the baseline data to derive the correct travel demand properties and overall capitalisation adjustment factors. The user is able to select Low, Central or High growth rate to suite the proposed scheme.
The primary sections of the scheme should be entered individually to breakdown the scheme length and Annual Average Daily Traffic (AADT) flow. Sections should ideally be between mile posts/markers on National roads.
When historical accident rates are used, they should be taken over the previous 5-year period, with an average taken rather then applying national accident rate.
</t>
  </si>
  <si>
    <t>Motorway and motorway standard All Purpose Dual Carriageway</t>
  </si>
  <si>
    <t>Include the extents / boundaries of scheme</t>
  </si>
  <si>
    <t>Capitalisation Factor for Accident Numbers</t>
  </si>
  <si>
    <t>Access Steps &amp; Handrail</t>
  </si>
  <si>
    <t>Optimum Bias &amp; Risk (20%)</t>
  </si>
  <si>
    <t>Bill of Quantities (2016 prices)</t>
  </si>
  <si>
    <t>Column (Aluminium) + Lantern</t>
  </si>
  <si>
    <t>Duct Chambers(@Feeder Pillars)</t>
  </si>
  <si>
    <t>Capitalisation Factor - Accident Numbers</t>
  </si>
  <si>
    <t>Optimum Bias &amp; Risk (default 20%)</t>
  </si>
  <si>
    <t>Description of sensitivity analysis</t>
  </si>
  <si>
    <t>Lighting Class - Spacing's and Wattage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</si>
</sst>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quot;* #,##0.00_-;\-&quot;£&quot;* #,##0.00_-;_-&quot;£&quot;* &quot;-&quot;??_-;_-@_-"/>
    <numFmt numFmtId="43" formatCode="_-* #,##0.00_-;\-* #,##0.00_-;_-* &quot;-&quot;??_-;_-@_-"/>
    <numFmt numFmtId="164" formatCode="_-[$€-2]\ * #,##0.00_-;\-[$€-2]\ * #,##0.00_-;_-[$€-2]\ * &quot;-&quot;??_-;_-@_-"/>
    <numFmt numFmtId="165" formatCode="000000"/>
    <numFmt numFmtId="166" formatCode="000000.0000"/>
    <numFmt numFmtId="167" formatCode="0.000"/>
    <numFmt numFmtId="168" formatCode="&quot;£&quot;#,##0.00"/>
    <numFmt numFmtId="169" formatCode="[$€-83C]#,##0.00"/>
    <numFmt numFmtId="170" formatCode="0.00000000"/>
    <numFmt numFmtId="171" formatCode="0.0%"/>
    <numFmt numFmtId="172" formatCode="0.0"/>
    <numFmt numFmtId="173" formatCode="_-[$€-2]\ * #,##0_-;\-[$€-2]\ * #,##0_-;_-[$€-2]\ * &quot;-&quot;_-;_-@_-"/>
    <numFmt numFmtId="174" formatCode="#,##0_ ;\-#,##0\ "/>
    <numFmt numFmtId="175" formatCode="0.0000"/>
    <numFmt numFmtId="176" formatCode="_-[$€-2]\ * #,##0_-;\-[$€-2]\ * #,##0_-;_-[$€-2]\ * &quot;-&quot;??_-;_-@_-"/>
    <numFmt numFmtId="177" formatCode="0.00000"/>
    <numFmt numFmtId="178" formatCode="#,##0.000"/>
    <numFmt numFmtId="179" formatCode="[$€-83C]#,##0"/>
    <numFmt numFmtId="180" formatCode="#,##0.000000000_ ;\-#,##0.000000000\ "/>
    <numFmt numFmtId="181" formatCode="0.000000000"/>
    <numFmt numFmtId="182" formatCode="_-* #,##0_-;\-* #,##0_-;_-* &quot;-&quot;??_-;_-@_-"/>
  </numFmts>
  <fonts count="75" x14ac:knownFonts="1">
    <font>
      <sz val="11"/>
      <color theme="1"/>
      <name val="Calibri"/>
      <family val="2"/>
      <scheme val="minor"/>
    </font>
    <font>
      <sz val="10"/>
      <name val="Arial"/>
      <family val="2"/>
    </font>
    <font>
      <b/>
      <sz val="18"/>
      <color rgb="FF2B338E"/>
      <name val="Arial"/>
      <family val="2"/>
    </font>
    <font>
      <b/>
      <sz val="12"/>
      <name val="Arial"/>
      <family val="2"/>
    </font>
    <font>
      <b/>
      <sz val="18"/>
      <name val="Arial"/>
      <family val="2"/>
    </font>
    <font>
      <i/>
      <sz val="10"/>
      <name val="Arial"/>
      <family val="2"/>
    </font>
    <font>
      <sz val="11"/>
      <color theme="1"/>
      <name val="Arial"/>
      <family val="2"/>
    </font>
    <font>
      <sz val="11"/>
      <name val="Arial"/>
      <family val="2"/>
    </font>
    <font>
      <i/>
      <sz val="11"/>
      <name val="Arial"/>
      <family val="2"/>
    </font>
    <font>
      <b/>
      <sz val="10"/>
      <name val="Arial"/>
      <family val="2"/>
    </font>
    <font>
      <sz val="10"/>
      <color theme="0" tint="-0.499984740745262"/>
      <name val="Arial"/>
      <family val="2"/>
    </font>
    <font>
      <sz val="10"/>
      <color rgb="FFFF0000"/>
      <name val="Arial"/>
      <family val="2"/>
    </font>
    <font>
      <sz val="10"/>
      <color theme="1"/>
      <name val="Arial"/>
      <family val="2"/>
    </font>
    <font>
      <sz val="11"/>
      <color theme="1"/>
      <name val="Calibri"/>
      <family val="2"/>
      <scheme val="minor"/>
    </font>
    <font>
      <u/>
      <sz val="11"/>
      <color theme="10"/>
      <name val="Calibri"/>
      <family val="2"/>
      <scheme val="minor"/>
    </font>
    <font>
      <u/>
      <sz val="11"/>
      <color theme="0" tint="-0.14999847407452621"/>
      <name val="Calibri"/>
      <family val="2"/>
      <scheme val="minor"/>
    </font>
    <font>
      <b/>
      <sz val="11"/>
      <name val="Arial"/>
      <family val="2"/>
    </font>
    <font>
      <vertAlign val="superscript"/>
      <sz val="10"/>
      <name val="Arial"/>
      <family val="2"/>
    </font>
    <font>
      <vertAlign val="subscript"/>
      <sz val="10"/>
      <name val="Arial"/>
      <family val="2"/>
    </font>
    <font>
      <sz val="9"/>
      <name val="Arial"/>
      <family val="2"/>
    </font>
    <font>
      <sz val="8"/>
      <color theme="0" tint="-0.499984740745262"/>
      <name val="Arial"/>
      <family val="2"/>
    </font>
    <font>
      <vertAlign val="superscript"/>
      <sz val="8"/>
      <color theme="0" tint="-0.499984740745262"/>
      <name val="Arial"/>
      <family val="2"/>
    </font>
    <font>
      <b/>
      <sz val="10"/>
      <color theme="1"/>
      <name val="Arial"/>
      <family val="2"/>
    </font>
    <font>
      <b/>
      <sz val="11"/>
      <color theme="1"/>
      <name val="Calibri"/>
      <family val="2"/>
      <scheme val="minor"/>
    </font>
    <font>
      <b/>
      <sz val="10"/>
      <color rgb="FFFF0000"/>
      <name val="Arial"/>
      <family val="2"/>
    </font>
    <font>
      <i/>
      <vertAlign val="superscript"/>
      <sz val="10"/>
      <name val="Arial"/>
      <family val="2"/>
    </font>
    <font>
      <sz val="10"/>
      <color theme="8"/>
      <name val="Arial"/>
      <family val="2"/>
    </font>
    <font>
      <sz val="10"/>
      <color theme="9"/>
      <name val="Arial"/>
      <family val="2"/>
    </font>
    <font>
      <sz val="10"/>
      <color theme="7"/>
      <name val="Arial"/>
      <family val="2"/>
    </font>
    <font>
      <sz val="10"/>
      <color rgb="FF7030A0"/>
      <name val="Arial"/>
      <family val="2"/>
    </font>
    <font>
      <sz val="10"/>
      <color rgb="FF00B0F0"/>
      <name val="Arial"/>
      <family val="2"/>
    </font>
    <font>
      <sz val="10"/>
      <color theme="9" tint="-0.249977111117893"/>
      <name val="Arial"/>
      <family val="2"/>
    </font>
    <font>
      <sz val="10"/>
      <color rgb="FFFF00FF"/>
      <name val="Arial"/>
      <family val="2"/>
    </font>
    <font>
      <sz val="18"/>
      <color rgb="FFFF0000"/>
      <name val="Arial"/>
      <family val="2"/>
    </font>
    <font>
      <i/>
      <sz val="10"/>
      <color rgb="FFFF0000"/>
      <name val="Arial"/>
      <family val="2"/>
    </font>
    <font>
      <i/>
      <sz val="11"/>
      <color rgb="FFFF0000"/>
      <name val="Arial"/>
      <family val="2"/>
    </font>
    <font>
      <sz val="12"/>
      <color theme="0" tint="-0.499984740745262"/>
      <name val="Arial"/>
      <family val="2"/>
    </font>
    <font>
      <sz val="12"/>
      <name val="Arial"/>
      <family val="2"/>
    </font>
    <font>
      <sz val="12"/>
      <color theme="1"/>
      <name val="Calibri"/>
      <family val="2"/>
      <scheme val="minor"/>
    </font>
    <font>
      <sz val="10"/>
      <color theme="4"/>
      <name val="Arial"/>
      <family val="2"/>
    </font>
    <font>
      <b/>
      <sz val="11"/>
      <color rgb="FFFF0000"/>
      <name val="Calibri"/>
      <family val="2"/>
      <scheme val="minor"/>
    </font>
    <font>
      <i/>
      <sz val="10"/>
      <color theme="1"/>
      <name val="Arial"/>
      <family val="2"/>
    </font>
    <font>
      <sz val="11"/>
      <name val="Calibri"/>
      <family val="2"/>
      <scheme val="minor"/>
    </font>
    <font>
      <b/>
      <sz val="10"/>
      <name val="Calibri"/>
      <family val="2"/>
    </font>
    <font>
      <sz val="11"/>
      <color rgb="FFFF0000"/>
      <name val="Calibri"/>
      <family val="2"/>
      <scheme val="minor"/>
    </font>
    <font>
      <i/>
      <sz val="10"/>
      <color theme="0" tint="-0.499984740745262"/>
      <name val="Arial"/>
      <family val="2"/>
    </font>
    <font>
      <sz val="12"/>
      <color rgb="FFFF0000"/>
      <name val="Arial"/>
      <family val="2"/>
    </font>
    <font>
      <i/>
      <sz val="11"/>
      <color theme="1"/>
      <name val="Arial"/>
      <family val="2"/>
    </font>
    <font>
      <u/>
      <sz val="8"/>
      <color theme="0" tint="-0.499984740745262"/>
      <name val="Calibri"/>
      <family val="2"/>
      <scheme val="minor"/>
    </font>
    <font>
      <sz val="11"/>
      <color rgb="FFFF0000"/>
      <name val="Arial"/>
      <family val="2"/>
    </font>
    <font>
      <b/>
      <sz val="11"/>
      <color theme="1"/>
      <name val="Arial"/>
      <family val="2"/>
    </font>
    <font>
      <b/>
      <sz val="11"/>
      <color rgb="FFFF0000"/>
      <name val="Arial"/>
      <family val="2"/>
    </font>
    <font>
      <i/>
      <sz val="11"/>
      <color theme="0"/>
      <name val="Arial"/>
      <family val="2"/>
    </font>
    <font>
      <b/>
      <sz val="18"/>
      <color rgb="FFFF0000"/>
      <name val="Arial"/>
      <family val="2"/>
    </font>
    <font>
      <b/>
      <sz val="11"/>
      <name val="Calibri"/>
      <family val="2"/>
      <scheme val="minor"/>
    </font>
    <font>
      <i/>
      <sz val="11"/>
      <color theme="1"/>
      <name val="Calibri"/>
      <family val="2"/>
      <scheme val="minor"/>
    </font>
    <font>
      <b/>
      <sz val="10"/>
      <color theme="0" tint="-0.499984740745262"/>
      <name val="Arial"/>
      <family val="2"/>
    </font>
    <font>
      <b/>
      <sz val="18"/>
      <color theme="8" tint="-0.249977111117893"/>
      <name val="Arial"/>
      <family val="2"/>
    </font>
    <font>
      <b/>
      <sz val="12"/>
      <color theme="8" tint="-0.249977111117893"/>
      <name val="Arial"/>
      <family val="2"/>
    </font>
    <font>
      <i/>
      <sz val="12"/>
      <color theme="8" tint="-0.249977111117893"/>
      <name val="Arial"/>
      <family val="2"/>
    </font>
    <font>
      <sz val="12"/>
      <color theme="8" tint="-0.249977111117893"/>
      <name val="Arial"/>
      <family val="2"/>
    </font>
    <font>
      <b/>
      <sz val="12"/>
      <color rgb="FF2B338E"/>
      <name val="Arial"/>
      <family val="2"/>
    </font>
    <font>
      <sz val="9"/>
      <color theme="1"/>
      <name val="Arial"/>
      <family val="2"/>
    </font>
    <font>
      <b/>
      <sz val="9"/>
      <color theme="1"/>
      <name val="Arial"/>
      <family val="2"/>
    </font>
    <font>
      <i/>
      <sz val="9"/>
      <color theme="1"/>
      <name val="Arial"/>
      <family val="2"/>
    </font>
    <font>
      <sz val="9"/>
      <color theme="2"/>
      <name val="Arial"/>
      <family val="2"/>
    </font>
    <font>
      <b/>
      <sz val="9"/>
      <name val="Arial"/>
      <family val="2"/>
    </font>
    <font>
      <sz val="11"/>
      <color rgb="FF006100"/>
      <name val="Calibri"/>
      <family val="2"/>
      <scheme val="minor"/>
    </font>
    <font>
      <b/>
      <i/>
      <sz val="10"/>
      <name val="Arial"/>
      <family val="2"/>
    </font>
    <font>
      <sz val="10"/>
      <color theme="0"/>
      <name val="Arial"/>
      <family val="2"/>
    </font>
    <font>
      <vertAlign val="superscript"/>
      <sz val="11"/>
      <name val="Arial"/>
      <family val="2"/>
    </font>
    <font>
      <sz val="11"/>
      <color theme="4"/>
      <name val="Arial"/>
      <family val="2"/>
    </font>
    <font>
      <sz val="10"/>
      <color theme="1"/>
      <name val="Calibri"/>
      <family val="2"/>
      <scheme val="minor"/>
    </font>
    <font>
      <sz val="10"/>
      <color theme="1" tint="0.499984740745262"/>
      <name val="Arial"/>
      <family val="2"/>
    </font>
    <font>
      <sz val="11"/>
      <color theme="0" tint="-0.499984740745262"/>
      <name val="Arial"/>
      <family val="2"/>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2"/>
        <bgColor indexed="64"/>
      </patternFill>
    </fill>
    <fill>
      <patternFill patternType="solid">
        <fgColor rgb="FFC6EFCE"/>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0000"/>
        <bgColor indexed="64"/>
      </patternFill>
    </fill>
  </fills>
  <borders count="103">
    <border>
      <left/>
      <right/>
      <top/>
      <bottom/>
      <diagonal/>
    </border>
    <border>
      <left/>
      <right/>
      <top style="thin">
        <color auto="1"/>
      </top>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top/>
      <bottom style="hair">
        <color theme="0" tint="-0.499984740745262"/>
      </bottom>
      <diagonal/>
    </border>
    <border>
      <left/>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auto="1"/>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right style="medium">
        <color indexed="64"/>
      </right>
      <top/>
      <bottom style="medium">
        <color auto="1"/>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auto="1"/>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auto="1"/>
      </bottom>
      <diagonal/>
    </border>
    <border>
      <left/>
      <right/>
      <top style="thin">
        <color indexed="64"/>
      </top>
      <bottom style="medium">
        <color auto="1"/>
      </bottom>
      <diagonal/>
    </border>
    <border>
      <left/>
      <right style="medium">
        <color indexed="64"/>
      </right>
      <top style="thin">
        <color indexed="64"/>
      </top>
      <bottom style="medium">
        <color auto="1"/>
      </bottom>
      <diagonal/>
    </border>
    <border>
      <left style="thin">
        <color auto="1"/>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auto="1"/>
      </left>
      <right style="medium">
        <color auto="1"/>
      </right>
      <top style="medium">
        <color indexed="64"/>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hair">
        <color auto="1"/>
      </bottom>
      <diagonal/>
    </border>
    <border>
      <left style="thin">
        <color indexed="64"/>
      </left>
      <right style="thin">
        <color indexed="64"/>
      </right>
      <top style="medium">
        <color indexed="64"/>
      </top>
      <bottom/>
      <diagonal/>
    </border>
    <border>
      <left/>
      <right/>
      <top/>
      <bottom style="dashed">
        <color theme="0" tint="-0.14996795556505021"/>
      </bottom>
      <diagonal/>
    </border>
    <border>
      <left style="thin">
        <color indexed="64"/>
      </left>
      <right/>
      <top/>
      <bottom style="dashed">
        <color theme="0" tint="-0.14996795556505021"/>
      </bottom>
      <diagonal/>
    </border>
    <border>
      <left/>
      <right style="thin">
        <color indexed="64"/>
      </right>
      <top/>
      <bottom style="dashed">
        <color theme="0" tint="-0.14996795556505021"/>
      </bottom>
      <diagonal/>
    </border>
    <border>
      <left/>
      <right/>
      <top style="dashed">
        <color theme="0" tint="-0.14996795556505021"/>
      </top>
      <bottom style="dashed">
        <color theme="0" tint="-0.14996795556505021"/>
      </bottom>
      <diagonal/>
    </border>
    <border>
      <left style="thin">
        <color indexed="64"/>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right/>
      <top style="dashed">
        <color theme="0" tint="-0.14996795556505021"/>
      </top>
      <bottom style="medium">
        <color auto="1"/>
      </bottom>
      <diagonal/>
    </border>
    <border>
      <left style="thin">
        <color indexed="64"/>
      </left>
      <right/>
      <top style="dashed">
        <color theme="0" tint="-0.14996795556505021"/>
      </top>
      <bottom style="medium">
        <color indexed="64"/>
      </bottom>
      <diagonal/>
    </border>
    <border>
      <left/>
      <right style="thin">
        <color indexed="64"/>
      </right>
      <top style="dashed">
        <color theme="0" tint="-0.14996795556505021"/>
      </top>
      <bottom style="medium">
        <color indexed="64"/>
      </bottom>
      <diagonal/>
    </border>
    <border>
      <left style="dashed">
        <color theme="0" tint="-0.499984740745262"/>
      </left>
      <right style="dashed">
        <color theme="0" tint="-0.499984740745262"/>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dashed">
        <color theme="0" tint="-0.14993743705557422"/>
      </right>
      <top style="dashed">
        <color theme="0" tint="-0.14996795556505021"/>
      </top>
      <bottom style="medium">
        <color indexed="64"/>
      </bottom>
      <diagonal/>
    </border>
    <border>
      <left/>
      <right style="thin">
        <color theme="1"/>
      </right>
      <top/>
      <bottom style="medium">
        <color theme="1"/>
      </bottom>
      <diagonal/>
    </border>
    <border>
      <left style="thin">
        <color theme="1"/>
      </left>
      <right/>
      <top style="dashed">
        <color theme="0" tint="-0.14996795556505021"/>
      </top>
      <bottom style="medium">
        <color theme="1"/>
      </bottom>
      <diagonal/>
    </border>
    <border>
      <left/>
      <right/>
      <top style="dashed">
        <color theme="0" tint="-0.14996795556505021"/>
      </top>
      <bottom style="medium">
        <color theme="1"/>
      </bottom>
      <diagonal/>
    </border>
    <border>
      <left/>
      <right/>
      <top style="medium">
        <color auto="1"/>
      </top>
      <bottom style="dashed">
        <color theme="0" tint="-0.14996795556505021"/>
      </bottom>
      <diagonal/>
    </border>
    <border>
      <left/>
      <right style="thin">
        <color indexed="64"/>
      </right>
      <top style="medium">
        <color auto="1"/>
      </top>
      <bottom style="dashed">
        <color theme="0" tint="-0.14996795556505021"/>
      </bottom>
      <diagonal/>
    </border>
    <border>
      <left style="dashed">
        <color theme="0" tint="-0.14993743705557422"/>
      </left>
      <right style="thin">
        <color indexed="64"/>
      </right>
      <top style="dashed">
        <color theme="0" tint="-0.14996795556505021"/>
      </top>
      <bottom style="medium">
        <color auto="1"/>
      </bottom>
      <diagonal/>
    </border>
    <border>
      <left/>
      <right/>
      <top style="medium">
        <color indexed="64"/>
      </top>
      <bottom style="dashed">
        <color theme="0" tint="-4.9989318521683403E-2"/>
      </bottom>
      <diagonal/>
    </border>
    <border>
      <left/>
      <right style="thin">
        <color auto="1"/>
      </right>
      <top style="medium">
        <color indexed="64"/>
      </top>
      <bottom style="dashed">
        <color theme="0" tint="-4.9989318521683403E-2"/>
      </bottom>
      <diagonal/>
    </border>
    <border>
      <left/>
      <right/>
      <top style="dashed">
        <color theme="0" tint="-4.9989318521683403E-2"/>
      </top>
      <bottom style="dashed">
        <color theme="0" tint="-4.9989318521683403E-2"/>
      </bottom>
      <diagonal/>
    </border>
    <border>
      <left/>
      <right style="thin">
        <color auto="1"/>
      </right>
      <top style="dashed">
        <color theme="0" tint="-4.9989318521683403E-2"/>
      </top>
      <bottom style="dashed">
        <color theme="0" tint="-4.9989318521683403E-2"/>
      </bottom>
      <diagonal/>
    </border>
    <border>
      <left/>
      <right/>
      <top style="hair">
        <color auto="1"/>
      </top>
      <bottom style="hair">
        <color auto="1"/>
      </bottom>
      <diagonal/>
    </border>
    <border>
      <left style="thin">
        <color indexed="64"/>
      </left>
      <right/>
      <top style="medium">
        <color auto="1"/>
      </top>
      <bottom style="dashed">
        <color theme="0" tint="-0.14996795556505021"/>
      </bottom>
      <diagonal/>
    </border>
  </borders>
  <cellStyleXfs count="8">
    <xf numFmtId="0" fontId="0" fillId="0" borderId="0"/>
    <xf numFmtId="0" fontId="1" fillId="0" borderId="0"/>
    <xf numFmtId="9" fontId="13" fillId="0" borderId="0" applyFont="0" applyFill="0" applyBorder="0" applyAlignment="0" applyProtection="0"/>
    <xf numFmtId="0" fontId="14" fillId="0" borderId="0" applyNumberForma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67" fillId="10" borderId="0" applyNumberFormat="0" applyBorder="0" applyAlignment="0" applyProtection="0"/>
  </cellStyleXfs>
  <cellXfs count="1696">
    <xf numFmtId="0" fontId="0" fillId="0" borderId="0" xfId="0"/>
    <xf numFmtId="0" fontId="1" fillId="2" borderId="1" xfId="1" applyFill="1" applyBorder="1" applyAlignment="1">
      <alignment vertical="center"/>
    </xf>
    <xf numFmtId="0" fontId="1" fillId="0" borderId="0" xfId="1" applyAlignment="1">
      <alignment vertical="center"/>
    </xf>
    <xf numFmtId="0" fontId="1" fillId="2" borderId="0" xfId="1" applyFill="1" applyAlignment="1">
      <alignment vertical="center"/>
    </xf>
    <xf numFmtId="0" fontId="1" fillId="2" borderId="0" xfId="1" applyFill="1" applyAlignment="1">
      <alignment horizontal="left" vertical="center"/>
    </xf>
    <xf numFmtId="0" fontId="5" fillId="2" borderId="0" xfId="1" applyFont="1" applyFill="1" applyAlignment="1">
      <alignment horizontal="left" vertical="center"/>
    </xf>
    <xf numFmtId="0" fontId="1" fillId="2" borderId="0" xfId="1" applyFont="1" applyFill="1" applyAlignment="1">
      <alignment horizontal="left" vertical="center"/>
    </xf>
    <xf numFmtId="0" fontId="1" fillId="2" borderId="0" xfId="1" applyFont="1" applyFill="1" applyAlignment="1">
      <alignment vertical="center"/>
    </xf>
    <xf numFmtId="0" fontId="1" fillId="0" borderId="0" xfId="1" applyAlignment="1">
      <alignment horizontal="left" vertical="center"/>
    </xf>
    <xf numFmtId="0" fontId="3" fillId="2" borderId="0" xfId="1" applyFont="1" applyFill="1" applyAlignment="1">
      <alignment horizontal="left" vertical="center"/>
    </xf>
    <xf numFmtId="0" fontId="4" fillId="2" borderId="0" xfId="1" applyFont="1" applyFill="1" applyAlignment="1">
      <alignment horizontal="left" vertical="center"/>
    </xf>
    <xf numFmtId="0" fontId="1" fillId="3" borderId="2" xfId="1" applyFill="1" applyBorder="1" applyAlignment="1">
      <alignment vertical="center"/>
    </xf>
    <xf numFmtId="0" fontId="8" fillId="2" borderId="0" xfId="1" applyFont="1" applyFill="1"/>
    <xf numFmtId="0" fontId="9" fillId="2" borderId="0" xfId="1" applyFont="1" applyFill="1" applyAlignment="1">
      <alignment horizontal="left" vertical="center"/>
    </xf>
    <xf numFmtId="0" fontId="10" fillId="2" borderId="0" xfId="1" applyFont="1" applyFill="1" applyAlignment="1">
      <alignment vertical="center"/>
    </xf>
    <xf numFmtId="0" fontId="1" fillId="2" borderId="2" xfId="1" applyFill="1" applyBorder="1" applyAlignment="1">
      <alignment vertical="center"/>
    </xf>
    <xf numFmtId="0" fontId="1" fillId="0" borderId="0" xfId="1" applyFill="1" applyAlignment="1">
      <alignment vertical="center"/>
    </xf>
    <xf numFmtId="0" fontId="11" fillId="0" borderId="0" xfId="1" applyFont="1" applyAlignment="1">
      <alignment vertical="center"/>
    </xf>
    <xf numFmtId="0" fontId="1" fillId="2" borderId="0" xfId="0" applyFont="1" applyFill="1"/>
    <xf numFmtId="0" fontId="0" fillId="2" borderId="0" xfId="0" applyFill="1"/>
    <xf numFmtId="0" fontId="1" fillId="0" borderId="0" xfId="1" applyAlignment="1">
      <alignment horizontal="center" vertical="center"/>
    </xf>
    <xf numFmtId="0" fontId="6" fillId="2" borderId="0" xfId="0" applyFont="1" applyFill="1" applyAlignment="1">
      <alignment horizontal="center" vertical="center"/>
    </xf>
    <xf numFmtId="0" fontId="11" fillId="2" borderId="0" xfId="1" applyFont="1" applyFill="1" applyAlignment="1">
      <alignment vertical="center"/>
    </xf>
    <xf numFmtId="0" fontId="14" fillId="0" borderId="0" xfId="3" applyAlignment="1">
      <alignment vertical="center"/>
    </xf>
    <xf numFmtId="0" fontId="8" fillId="2" borderId="0" xfId="1" applyFont="1" applyFill="1" applyAlignment="1">
      <alignment horizontal="right"/>
    </xf>
    <xf numFmtId="0" fontId="15" fillId="2" borderId="0" xfId="3" applyFont="1" applyFill="1" applyAlignment="1">
      <alignment horizontal="right" vertical="center"/>
    </xf>
    <xf numFmtId="0" fontId="8" fillId="2" borderId="0" xfId="1" applyFont="1" applyFill="1" applyAlignment="1">
      <alignment vertical="center"/>
    </xf>
    <xf numFmtId="0" fontId="9" fillId="2" borderId="0" xfId="1" applyFont="1" applyFill="1" applyAlignment="1">
      <alignment vertical="center"/>
    </xf>
    <xf numFmtId="0" fontId="1" fillId="2" borderId="0" xfId="1" applyFill="1" applyBorder="1" applyAlignment="1">
      <alignment vertical="center"/>
    </xf>
    <xf numFmtId="0" fontId="4" fillId="2" borderId="0" xfId="1" applyFont="1" applyFill="1" applyBorder="1" applyAlignment="1">
      <alignment horizontal="left" vertical="center"/>
    </xf>
    <xf numFmtId="0" fontId="8" fillId="2" borderId="0" xfId="1" applyFont="1" applyFill="1" applyBorder="1"/>
    <xf numFmtId="0" fontId="10" fillId="2" borderId="0" xfId="1" applyFont="1" applyFill="1" applyBorder="1" applyAlignment="1">
      <alignment vertical="center"/>
    </xf>
    <xf numFmtId="0" fontId="1" fillId="2" borderId="8" xfId="1" applyFill="1" applyBorder="1" applyAlignment="1">
      <alignment vertical="center"/>
    </xf>
    <xf numFmtId="0" fontId="9" fillId="2" borderId="0" xfId="1" applyFont="1" applyFill="1" applyBorder="1" applyAlignment="1">
      <alignment horizontal="center" vertical="center"/>
    </xf>
    <xf numFmtId="0" fontId="1" fillId="2" borderId="0" xfId="1" applyFill="1" applyBorder="1" applyAlignment="1">
      <alignment vertical="center"/>
    </xf>
    <xf numFmtId="0" fontId="1" fillId="2" borderId="20" xfId="0" applyFont="1" applyFill="1" applyBorder="1" applyAlignment="1">
      <alignment vertical="center"/>
    </xf>
    <xf numFmtId="0" fontId="1" fillId="2" borderId="12" xfId="0" applyFont="1" applyFill="1" applyBorder="1" applyAlignment="1">
      <alignment horizontal="center" vertical="center"/>
    </xf>
    <xf numFmtId="0" fontId="1" fillId="2" borderId="22" xfId="0" applyFont="1" applyFill="1" applyBorder="1" applyAlignment="1">
      <alignment vertical="center"/>
    </xf>
    <xf numFmtId="0" fontId="1" fillId="2" borderId="13" xfId="0" applyFont="1" applyFill="1" applyBorder="1" applyAlignment="1">
      <alignment horizontal="center" vertical="center"/>
    </xf>
    <xf numFmtId="0" fontId="1" fillId="2" borderId="1" xfId="1" applyFont="1" applyFill="1" applyBorder="1" applyAlignment="1">
      <alignment vertical="center"/>
    </xf>
    <xf numFmtId="0" fontId="1" fillId="2" borderId="43" xfId="1" applyFont="1" applyFill="1" applyBorder="1" applyAlignment="1">
      <alignment vertical="center"/>
    </xf>
    <xf numFmtId="0" fontId="1" fillId="2" borderId="0" xfId="0" applyFont="1" applyFill="1" applyBorder="1" applyAlignment="1">
      <alignment vertical="center"/>
    </xf>
    <xf numFmtId="0" fontId="1" fillId="2" borderId="50" xfId="1" applyFill="1" applyBorder="1" applyAlignment="1">
      <alignment horizontal="center" vertical="center"/>
    </xf>
    <xf numFmtId="0" fontId="1" fillId="2" borderId="24" xfId="0" applyFont="1" applyFill="1" applyBorder="1" applyAlignment="1">
      <alignment vertical="center"/>
    </xf>
    <xf numFmtId="0" fontId="10" fillId="2" borderId="44" xfId="1" applyFont="1" applyFill="1" applyBorder="1" applyAlignment="1">
      <alignment vertical="center"/>
    </xf>
    <xf numFmtId="0" fontId="10" fillId="2" borderId="2" xfId="1" applyFont="1" applyFill="1" applyBorder="1" applyAlignment="1">
      <alignment vertical="center"/>
    </xf>
    <xf numFmtId="0" fontId="10" fillId="2" borderId="49" xfId="1" applyFont="1" applyFill="1" applyBorder="1" applyAlignment="1">
      <alignment vertical="center"/>
    </xf>
    <xf numFmtId="3" fontId="1" fillId="2" borderId="22" xfId="0" applyNumberFormat="1" applyFont="1" applyFill="1" applyBorder="1" applyAlignment="1">
      <alignment horizontal="center" vertical="center"/>
    </xf>
    <xf numFmtId="0" fontId="9" fillId="2" borderId="1" xfId="0" applyFont="1" applyFill="1" applyBorder="1" applyAlignment="1">
      <alignment horizontal="right" vertical="center"/>
    </xf>
    <xf numFmtId="0" fontId="10" fillId="2" borderId="60" xfId="1" applyFont="1" applyFill="1" applyBorder="1" applyAlignment="1">
      <alignment vertical="center"/>
    </xf>
    <xf numFmtId="4" fontId="1" fillId="2" borderId="7" xfId="0" applyNumberFormat="1" applyFont="1" applyFill="1" applyBorder="1" applyAlignment="1">
      <alignment horizontal="center" vertical="center"/>
    </xf>
    <xf numFmtId="168" fontId="1" fillId="2" borderId="43" xfId="0" applyNumberFormat="1" applyFont="1" applyFill="1" applyBorder="1" applyAlignment="1">
      <alignment horizontal="center" vertical="center"/>
    </xf>
    <xf numFmtId="168" fontId="1" fillId="2" borderId="42" xfId="0" applyNumberFormat="1" applyFont="1" applyFill="1" applyBorder="1" applyAlignment="1">
      <alignment horizontal="center" vertical="center"/>
    </xf>
    <xf numFmtId="0" fontId="1" fillId="2" borderId="0" xfId="1" applyFill="1" applyBorder="1" applyAlignment="1">
      <alignment horizontal="center" vertical="center"/>
    </xf>
    <xf numFmtId="164" fontId="9" fillId="2" borderId="0" xfId="1" applyNumberFormat="1" applyFont="1" applyFill="1" applyBorder="1" applyAlignment="1">
      <alignment vertical="center"/>
    </xf>
    <xf numFmtId="0" fontId="20" fillId="2" borderId="0" xfId="1" applyFont="1" applyFill="1" applyBorder="1" applyAlignment="1">
      <alignment vertical="center"/>
    </xf>
    <xf numFmtId="0" fontId="1" fillId="2" borderId="35" xfId="1" applyFill="1" applyBorder="1" applyAlignment="1">
      <alignment horizontal="center" vertical="center"/>
    </xf>
    <xf numFmtId="0" fontId="1" fillId="2" borderId="18" xfId="1" applyFill="1" applyBorder="1" applyAlignment="1">
      <alignment horizontal="center" vertical="center"/>
    </xf>
    <xf numFmtId="0" fontId="1" fillId="2" borderId="0" xfId="1" applyFill="1" applyBorder="1" applyAlignment="1">
      <alignment horizontal="left" vertical="center"/>
    </xf>
    <xf numFmtId="0" fontId="5" fillId="2" borderId="0" xfId="1" applyFont="1" applyFill="1" applyBorder="1" applyAlignment="1">
      <alignment horizontal="center" vertical="center"/>
    </xf>
    <xf numFmtId="0" fontId="1" fillId="2" borderId="0" xfId="1" applyFill="1" applyAlignment="1">
      <alignment horizontal="left" vertical="center"/>
    </xf>
    <xf numFmtId="0" fontId="8" fillId="2" borderId="0" xfId="1" applyFont="1" applyFill="1" applyAlignment="1">
      <alignment horizontal="center" vertical="center"/>
    </xf>
    <xf numFmtId="0" fontId="1" fillId="2" borderId="0" xfId="0" applyFont="1" applyFill="1" applyBorder="1" applyAlignment="1">
      <alignment horizontal="left" vertical="center"/>
    </xf>
    <xf numFmtId="0" fontId="1" fillId="2" borderId="0" xfId="0" applyFont="1" applyFill="1" applyBorder="1" applyAlignment="1">
      <alignment horizontal="center" vertical="center"/>
    </xf>
    <xf numFmtId="0" fontId="1" fillId="2" borderId="1" xfId="1" applyFill="1" applyBorder="1" applyAlignment="1">
      <alignment horizontal="left" vertical="center"/>
    </xf>
    <xf numFmtId="0" fontId="1" fillId="2" borderId="0" xfId="1" applyFill="1" applyBorder="1" applyAlignment="1">
      <alignment vertical="center"/>
    </xf>
    <xf numFmtId="9" fontId="1" fillId="0" borderId="0" xfId="1" applyNumberFormat="1" applyAlignment="1">
      <alignment vertical="center"/>
    </xf>
    <xf numFmtId="0" fontId="20" fillId="2" borderId="0" xfId="1" applyFont="1" applyFill="1" applyBorder="1" applyAlignment="1">
      <alignment horizontal="right" vertical="center"/>
    </xf>
    <xf numFmtId="0" fontId="9" fillId="2" borderId="0" xfId="1" applyFont="1" applyFill="1" applyAlignment="1">
      <alignment horizontal="center" vertical="center"/>
    </xf>
    <xf numFmtId="0" fontId="9" fillId="2" borderId="61" xfId="0" applyFont="1" applyFill="1" applyBorder="1" applyAlignment="1">
      <alignment horizontal="center" vertical="center"/>
    </xf>
    <xf numFmtId="0" fontId="23" fillId="2" borderId="52" xfId="0" applyFont="1" applyFill="1" applyBorder="1" applyAlignment="1">
      <alignment horizontal="center" vertical="center"/>
    </xf>
    <xf numFmtId="0" fontId="1" fillId="2" borderId="15" xfId="1" applyFill="1" applyBorder="1" applyAlignment="1">
      <alignment horizontal="center" vertical="center"/>
    </xf>
    <xf numFmtId="0" fontId="1" fillId="2" borderId="19" xfId="0" applyFont="1" applyFill="1" applyBorder="1" applyAlignment="1">
      <alignment horizontal="center" vertical="center"/>
    </xf>
    <xf numFmtId="172" fontId="1" fillId="2" borderId="19" xfId="0" applyNumberFormat="1" applyFont="1" applyFill="1" applyBorder="1" applyAlignment="1">
      <alignment horizontal="center" vertical="center"/>
    </xf>
    <xf numFmtId="172" fontId="0" fillId="2" borderId="19" xfId="0" applyNumberFormat="1" applyFill="1" applyBorder="1" applyAlignment="1">
      <alignment horizontal="center" vertical="center"/>
    </xf>
    <xf numFmtId="0" fontId="9" fillId="2" borderId="0" xfId="1" applyFont="1" applyFill="1" applyBorder="1" applyAlignment="1">
      <alignment vertical="center"/>
    </xf>
    <xf numFmtId="0" fontId="1" fillId="2" borderId="0" xfId="1" applyFill="1" applyAlignment="1">
      <alignment horizontal="center" vertical="center"/>
    </xf>
    <xf numFmtId="0" fontId="1" fillId="2" borderId="0" xfId="1" applyFill="1" applyAlignment="1">
      <alignment horizontal="left" vertical="center"/>
    </xf>
    <xf numFmtId="0" fontId="1" fillId="2" borderId="0" xfId="1" applyFill="1" applyBorder="1" applyAlignment="1">
      <alignment horizontal="center" vertical="center"/>
    </xf>
    <xf numFmtId="0" fontId="1" fillId="2" borderId="0" xfId="1" applyFill="1" applyBorder="1" applyAlignment="1">
      <alignment vertical="center"/>
    </xf>
    <xf numFmtId="0" fontId="1" fillId="2" borderId="1" xfId="1" applyFill="1" applyBorder="1" applyAlignment="1">
      <alignment horizontal="left" vertical="center"/>
    </xf>
    <xf numFmtId="0" fontId="1" fillId="2" borderId="0" xfId="1" applyFont="1" applyFill="1" applyBorder="1" applyAlignment="1">
      <alignment vertical="center"/>
    </xf>
    <xf numFmtId="0" fontId="1" fillId="0" borderId="0" xfId="1" applyFill="1" applyBorder="1" applyAlignment="1">
      <alignment vertical="center"/>
    </xf>
    <xf numFmtId="0" fontId="1" fillId="0" borderId="0" xfId="1" applyFill="1" applyBorder="1" applyAlignment="1">
      <alignment horizontal="left" vertical="center"/>
    </xf>
    <xf numFmtId="0" fontId="1" fillId="0" borderId="0" xfId="1" applyFill="1" applyBorder="1" applyAlignment="1">
      <alignment horizontal="center" vertical="center"/>
    </xf>
    <xf numFmtId="0" fontId="24" fillId="2" borderId="1" xfId="1" applyFont="1" applyFill="1" applyBorder="1" applyAlignment="1">
      <alignment vertical="center"/>
    </xf>
    <xf numFmtId="0" fontId="2" fillId="2" borderId="1" xfId="1" applyFont="1" applyFill="1" applyBorder="1" applyAlignment="1">
      <alignment vertical="center"/>
    </xf>
    <xf numFmtId="173" fontId="1" fillId="2" borderId="13" xfId="0" applyNumberFormat="1" applyFont="1" applyFill="1" applyBorder="1" applyAlignment="1">
      <alignment vertical="center"/>
    </xf>
    <xf numFmtId="173" fontId="9" fillId="2" borderId="50" xfId="1" applyNumberFormat="1" applyFont="1" applyFill="1" applyBorder="1" applyAlignment="1">
      <alignment vertical="center"/>
    </xf>
    <xf numFmtId="173" fontId="1" fillId="2" borderId="21" xfId="0" applyNumberFormat="1" applyFont="1" applyFill="1" applyBorder="1" applyAlignment="1">
      <alignment vertical="center"/>
    </xf>
    <xf numFmtId="0" fontId="5" fillId="2" borderId="41" xfId="0" applyFont="1" applyFill="1" applyBorder="1" applyAlignment="1">
      <alignment vertical="center"/>
    </xf>
    <xf numFmtId="0" fontId="5" fillId="2" borderId="0" xfId="0" applyFont="1" applyFill="1" applyBorder="1" applyAlignment="1">
      <alignment vertical="center"/>
    </xf>
    <xf numFmtId="0" fontId="1" fillId="5" borderId="14" xfId="0" applyFont="1" applyFill="1" applyBorder="1" applyAlignment="1">
      <alignment horizontal="center" vertical="center"/>
    </xf>
    <xf numFmtId="169" fontId="1" fillId="5" borderId="6" xfId="0" applyNumberFormat="1" applyFont="1" applyFill="1" applyBorder="1" applyAlignment="1">
      <alignment horizontal="center" vertical="center"/>
    </xf>
    <xf numFmtId="168" fontId="1" fillId="5" borderId="3" xfId="0" applyNumberFormat="1" applyFont="1" applyFill="1" applyBorder="1" applyAlignment="1">
      <alignment horizontal="center" vertical="center"/>
    </xf>
    <xf numFmtId="169" fontId="1" fillId="5" borderId="44" xfId="0" applyNumberFormat="1" applyFont="1" applyFill="1" applyBorder="1" applyAlignment="1">
      <alignment horizontal="center" vertical="center"/>
    </xf>
    <xf numFmtId="0" fontId="1" fillId="5" borderId="24" xfId="0" applyNumberFormat="1" applyFont="1" applyFill="1" applyBorder="1" applyAlignment="1">
      <alignment horizontal="center" vertical="center"/>
    </xf>
    <xf numFmtId="173" fontId="9" fillId="2" borderId="48" xfId="0" applyNumberFormat="1" applyFont="1" applyFill="1" applyBorder="1" applyAlignment="1">
      <alignment vertical="center"/>
    </xf>
    <xf numFmtId="173" fontId="1" fillId="2" borderId="12" xfId="0" applyNumberFormat="1" applyFont="1" applyFill="1" applyBorder="1" applyAlignment="1">
      <alignment horizontal="center" vertical="center"/>
    </xf>
    <xf numFmtId="173" fontId="1" fillId="2" borderId="13" xfId="0" applyNumberFormat="1" applyFont="1" applyFill="1" applyBorder="1" applyAlignment="1">
      <alignment horizontal="center" vertical="center"/>
    </xf>
    <xf numFmtId="0" fontId="1" fillId="2" borderId="0" xfId="0" applyFont="1" applyFill="1" applyAlignment="1">
      <alignment vertical="center"/>
    </xf>
    <xf numFmtId="0" fontId="5" fillId="2" borderId="60" xfId="1" applyFont="1" applyFill="1" applyBorder="1" applyAlignment="1">
      <alignment horizontal="center" vertical="center"/>
    </xf>
    <xf numFmtId="0" fontId="5" fillId="2" borderId="58" xfId="1" applyFont="1" applyFill="1" applyBorder="1" applyAlignment="1">
      <alignment horizontal="center" vertical="center"/>
    </xf>
    <xf numFmtId="0" fontId="5" fillId="2" borderId="59" xfId="1" applyFont="1" applyFill="1" applyBorder="1" applyAlignment="1">
      <alignment horizontal="center" vertical="center"/>
    </xf>
    <xf numFmtId="0" fontId="5" fillId="2" borderId="67" xfId="1" applyFont="1" applyFill="1" applyBorder="1" applyAlignment="1">
      <alignment horizontal="center" vertical="center"/>
    </xf>
    <xf numFmtId="0" fontId="5" fillId="2" borderId="68" xfId="1" applyFont="1" applyFill="1" applyBorder="1" applyAlignment="1">
      <alignment horizontal="center" vertical="center"/>
    </xf>
    <xf numFmtId="0" fontId="5" fillId="2" borderId="69" xfId="1" applyFont="1" applyFill="1" applyBorder="1" applyAlignment="1">
      <alignment horizontal="center" vertical="center"/>
    </xf>
    <xf numFmtId="0" fontId="20" fillId="2" borderId="2" xfId="1" applyFont="1" applyFill="1" applyBorder="1" applyAlignment="1">
      <alignment horizontal="right" vertical="center"/>
    </xf>
    <xf numFmtId="0" fontId="20" fillId="2" borderId="1" xfId="1" applyFont="1" applyFill="1" applyBorder="1" applyAlignment="1">
      <alignment horizontal="right" vertical="center"/>
    </xf>
    <xf numFmtId="0" fontId="5" fillId="2" borderId="0" xfId="0" applyFont="1" applyFill="1" applyBorder="1" applyAlignment="1">
      <alignment horizontal="center" vertical="center"/>
    </xf>
    <xf numFmtId="3" fontId="5" fillId="2" borderId="0" xfId="0" applyNumberFormat="1" applyFont="1" applyFill="1" applyBorder="1" applyAlignment="1">
      <alignment horizontal="center" vertical="center"/>
    </xf>
    <xf numFmtId="164" fontId="9" fillId="2" borderId="0" xfId="0" applyNumberFormat="1" applyFont="1" applyFill="1" applyBorder="1" applyAlignment="1">
      <alignment horizontal="center" vertical="center"/>
    </xf>
    <xf numFmtId="0" fontId="26" fillId="2" borderId="0" xfId="1" applyFont="1" applyFill="1" applyAlignment="1">
      <alignment vertical="center"/>
    </xf>
    <xf numFmtId="0" fontId="27" fillId="2" borderId="0" xfId="1" applyFont="1" applyFill="1" applyAlignment="1">
      <alignment vertical="center"/>
    </xf>
    <xf numFmtId="0" fontId="11" fillId="2" borderId="0" xfId="1" applyFont="1" applyFill="1" applyBorder="1" applyAlignment="1">
      <alignment vertical="center"/>
    </xf>
    <xf numFmtId="0" fontId="28" fillId="2" borderId="0" xfId="1" applyFont="1" applyFill="1" applyBorder="1" applyAlignment="1">
      <alignment vertical="center"/>
    </xf>
    <xf numFmtId="0" fontId="29" fillId="2" borderId="0" xfId="1" applyFont="1" applyFill="1" applyBorder="1" applyAlignment="1">
      <alignment vertical="center"/>
    </xf>
    <xf numFmtId="0" fontId="30" fillId="2" borderId="0" xfId="1" applyFont="1" applyFill="1" applyBorder="1" applyAlignment="1">
      <alignment vertical="center"/>
    </xf>
    <xf numFmtId="0" fontId="31" fillId="2" borderId="0" xfId="1" applyFont="1" applyFill="1" applyBorder="1" applyAlignment="1">
      <alignment vertical="center"/>
    </xf>
    <xf numFmtId="0" fontId="26" fillId="2" borderId="0" xfId="1" applyFont="1" applyFill="1" applyBorder="1" applyAlignment="1">
      <alignment vertical="center"/>
    </xf>
    <xf numFmtId="0" fontId="32" fillId="2" borderId="0" xfId="1" applyFont="1" applyFill="1" applyBorder="1" applyAlignment="1">
      <alignment vertical="center"/>
    </xf>
    <xf numFmtId="0" fontId="26" fillId="2" borderId="60" xfId="1" applyFont="1" applyFill="1" applyBorder="1" applyAlignment="1">
      <alignment vertical="center"/>
    </xf>
    <xf numFmtId="0" fontId="26" fillId="2" borderId="59" xfId="1" applyFont="1" applyFill="1" applyBorder="1" applyAlignment="1">
      <alignment vertical="center"/>
    </xf>
    <xf numFmtId="0" fontId="27" fillId="2" borderId="43" xfId="1" applyFont="1" applyFill="1" applyBorder="1" applyAlignment="1">
      <alignment vertical="center"/>
    </xf>
    <xf numFmtId="0" fontId="27" fillId="2" borderId="48" xfId="1" applyFont="1" applyFill="1" applyBorder="1" applyAlignment="1">
      <alignment vertical="center"/>
    </xf>
    <xf numFmtId="0" fontId="27" fillId="2" borderId="42" xfId="1" applyFont="1" applyFill="1" applyBorder="1" applyAlignment="1">
      <alignment vertical="center"/>
    </xf>
    <xf numFmtId="0" fontId="27" fillId="2" borderId="47" xfId="1" applyFont="1" applyFill="1" applyBorder="1" applyAlignment="1">
      <alignment vertical="center"/>
    </xf>
    <xf numFmtId="0" fontId="27" fillId="2" borderId="44" xfId="1" applyFont="1" applyFill="1" applyBorder="1" applyAlignment="1">
      <alignment vertical="center"/>
    </xf>
    <xf numFmtId="0" fontId="27" fillId="2" borderId="49" xfId="1" applyFont="1" applyFill="1" applyBorder="1" applyAlignment="1">
      <alignment vertical="center"/>
    </xf>
    <xf numFmtId="0" fontId="11" fillId="2" borderId="43" xfId="1" applyFont="1" applyFill="1" applyBorder="1" applyAlignment="1">
      <alignment vertical="center"/>
    </xf>
    <xf numFmtId="0" fontId="11" fillId="2" borderId="48" xfId="1" applyFont="1" applyFill="1" applyBorder="1" applyAlignment="1">
      <alignment vertical="center"/>
    </xf>
    <xf numFmtId="0" fontId="29" fillId="2" borderId="42" xfId="1" applyFont="1" applyFill="1" applyBorder="1" applyAlignment="1">
      <alignment vertical="center"/>
    </xf>
    <xf numFmtId="0" fontId="29" fillId="2" borderId="47" xfId="1" applyFont="1" applyFill="1" applyBorder="1" applyAlignment="1">
      <alignment vertical="center"/>
    </xf>
    <xf numFmtId="0" fontId="30" fillId="2" borderId="44" xfId="1" applyFont="1" applyFill="1" applyBorder="1" applyAlignment="1">
      <alignment vertical="center"/>
    </xf>
    <xf numFmtId="0" fontId="30" fillId="2" borderId="49" xfId="1" applyFont="1" applyFill="1" applyBorder="1" applyAlignment="1">
      <alignment vertical="center"/>
    </xf>
    <xf numFmtId="0" fontId="32" fillId="2" borderId="43" xfId="1" applyFont="1" applyFill="1" applyBorder="1" applyAlignment="1">
      <alignment vertical="center"/>
    </xf>
    <xf numFmtId="0" fontId="32" fillId="2" borderId="48" xfId="1" applyFont="1" applyFill="1" applyBorder="1" applyAlignment="1">
      <alignment vertical="center"/>
    </xf>
    <xf numFmtId="0" fontId="31" fillId="2" borderId="42" xfId="1" applyFont="1" applyFill="1" applyBorder="1" applyAlignment="1">
      <alignment vertical="center"/>
    </xf>
    <xf numFmtId="0" fontId="31" fillId="2" borderId="47" xfId="1" applyFont="1" applyFill="1" applyBorder="1" applyAlignment="1">
      <alignment vertical="center"/>
    </xf>
    <xf numFmtId="0" fontId="28" fillId="2" borderId="42" xfId="1" applyFont="1" applyFill="1" applyBorder="1" applyAlignment="1">
      <alignment vertical="center"/>
    </xf>
    <xf numFmtId="0" fontId="28" fillId="2" borderId="47" xfId="1" applyFont="1" applyFill="1" applyBorder="1" applyAlignment="1">
      <alignment vertical="center"/>
    </xf>
    <xf numFmtId="0" fontId="26" fillId="2" borderId="44" xfId="1" applyFont="1" applyFill="1" applyBorder="1" applyAlignment="1">
      <alignment vertical="center"/>
    </xf>
    <xf numFmtId="0" fontId="26" fillId="2" borderId="49" xfId="1" applyFont="1" applyFill="1" applyBorder="1" applyAlignment="1">
      <alignment vertical="center"/>
    </xf>
    <xf numFmtId="0" fontId="1" fillId="2" borderId="45" xfId="1" applyFont="1" applyFill="1" applyBorder="1" applyAlignment="1">
      <alignment vertical="center"/>
    </xf>
    <xf numFmtId="0" fontId="1" fillId="2" borderId="51" xfId="1" applyFont="1" applyFill="1" applyBorder="1" applyAlignment="1">
      <alignment vertical="center"/>
    </xf>
    <xf numFmtId="172" fontId="1" fillId="2" borderId="0" xfId="1" applyNumberFormat="1" applyFill="1" applyAlignment="1">
      <alignment vertical="center"/>
    </xf>
    <xf numFmtId="2" fontId="1" fillId="2" borderId="0" xfId="1" applyNumberFormat="1" applyFill="1" applyAlignment="1">
      <alignment vertical="center"/>
    </xf>
    <xf numFmtId="173" fontId="1" fillId="2" borderId="25" xfId="0" applyNumberFormat="1" applyFont="1" applyFill="1" applyBorder="1" applyAlignment="1">
      <alignment vertical="center"/>
    </xf>
    <xf numFmtId="0" fontId="1" fillId="2" borderId="41" xfId="1" applyFill="1" applyBorder="1" applyAlignment="1">
      <alignment vertical="center"/>
    </xf>
    <xf numFmtId="0" fontId="19" fillId="2" borderId="0" xfId="1" applyFont="1" applyFill="1" applyAlignment="1">
      <alignment vertical="center"/>
    </xf>
    <xf numFmtId="49" fontId="11" fillId="2" borderId="0" xfId="1" applyNumberFormat="1" applyFont="1" applyFill="1" applyAlignment="1">
      <alignment vertical="center"/>
    </xf>
    <xf numFmtId="0" fontId="1" fillId="0" borderId="0" xfId="1" applyFont="1" applyAlignment="1">
      <alignment vertical="center"/>
    </xf>
    <xf numFmtId="0" fontId="1" fillId="2" borderId="50"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0" fillId="2" borderId="0" xfId="0" applyFill="1" applyAlignment="1">
      <alignment horizontal="left"/>
    </xf>
    <xf numFmtId="0" fontId="4" fillId="2" borderId="0" xfId="1" applyFont="1" applyFill="1" applyAlignment="1">
      <alignment horizontal="center" vertical="center"/>
    </xf>
    <xf numFmtId="0" fontId="0" fillId="2" borderId="0" xfId="0" applyFill="1" applyAlignment="1">
      <alignment horizontal="center"/>
    </xf>
    <xf numFmtId="0" fontId="1" fillId="2" borderId="46" xfId="0" applyFont="1" applyFill="1" applyBorder="1" applyAlignment="1">
      <alignment horizontal="center" vertical="center" wrapText="1"/>
    </xf>
    <xf numFmtId="173" fontId="1" fillId="2" borderId="0" xfId="1" applyNumberFormat="1" applyFill="1" applyBorder="1" applyAlignment="1">
      <alignment horizontal="left" vertical="center"/>
    </xf>
    <xf numFmtId="0" fontId="33" fillId="2" borderId="0" xfId="1" applyFont="1" applyFill="1" applyAlignment="1">
      <alignment horizontal="left" vertical="center"/>
    </xf>
    <xf numFmtId="0" fontId="1" fillId="2" borderId="0" xfId="1" applyFill="1" applyAlignment="1">
      <alignment horizontal="center" vertical="center"/>
    </xf>
    <xf numFmtId="0" fontId="1" fillId="2" borderId="0" xfId="1" applyFill="1" applyBorder="1" applyAlignment="1">
      <alignment horizontal="center" vertical="center"/>
    </xf>
    <xf numFmtId="0" fontId="5" fillId="2" borderId="0" xfId="1" applyFont="1" applyFill="1" applyBorder="1" applyAlignment="1">
      <alignment horizontal="center" vertical="center"/>
    </xf>
    <xf numFmtId="0" fontId="1" fillId="2" borderId="0" xfId="0" applyFont="1" applyFill="1" applyBorder="1" applyAlignment="1">
      <alignment horizontal="center" vertical="center"/>
    </xf>
    <xf numFmtId="0" fontId="8" fillId="2" borderId="0" xfId="1" applyFont="1" applyFill="1" applyAlignment="1">
      <alignment horizontal="left"/>
    </xf>
    <xf numFmtId="173" fontId="1" fillId="2" borderId="74" xfId="0" applyNumberFormat="1" applyFont="1" applyFill="1" applyBorder="1" applyAlignment="1">
      <alignment vertical="center"/>
    </xf>
    <xf numFmtId="173" fontId="1" fillId="2" borderId="8" xfId="0" applyNumberFormat="1" applyFont="1" applyFill="1" applyBorder="1" applyAlignment="1">
      <alignment vertical="center"/>
    </xf>
    <xf numFmtId="0" fontId="1" fillId="2" borderId="27" xfId="0" applyFont="1" applyFill="1" applyBorder="1" applyAlignment="1">
      <alignment horizontal="center" vertical="center"/>
    </xf>
    <xf numFmtId="173" fontId="1" fillId="5" borderId="46" xfId="0" applyNumberFormat="1" applyFont="1" applyFill="1" applyBorder="1" applyAlignment="1">
      <alignment vertical="center"/>
    </xf>
    <xf numFmtId="173" fontId="1" fillId="5" borderId="27" xfId="0" applyNumberFormat="1" applyFont="1" applyFill="1" applyBorder="1" applyAlignment="1">
      <alignment vertical="center"/>
    </xf>
    <xf numFmtId="173" fontId="1" fillId="5" borderId="33" xfId="0" applyNumberFormat="1" applyFont="1" applyFill="1" applyBorder="1" applyAlignment="1">
      <alignment vertical="center"/>
    </xf>
    <xf numFmtId="173" fontId="5" fillId="2" borderId="0" xfId="0" applyNumberFormat="1" applyFont="1" applyFill="1" applyBorder="1" applyAlignment="1">
      <alignment vertical="center"/>
    </xf>
    <xf numFmtId="0" fontId="1" fillId="2" borderId="42" xfId="0" applyFont="1" applyFill="1" applyBorder="1" applyAlignment="1">
      <alignment vertical="center" wrapText="1"/>
    </xf>
    <xf numFmtId="0" fontId="1" fillId="2" borderId="45" xfId="0" applyFont="1" applyFill="1" applyBorder="1" applyAlignment="1">
      <alignment vertical="center" wrapText="1"/>
    </xf>
    <xf numFmtId="173" fontId="1" fillId="2" borderId="42" xfId="0" applyNumberFormat="1" applyFont="1" applyFill="1" applyBorder="1" applyAlignment="1">
      <alignment vertical="center"/>
    </xf>
    <xf numFmtId="173" fontId="1" fillId="2" borderId="0" xfId="0" applyNumberFormat="1" applyFont="1" applyFill="1" applyBorder="1" applyAlignment="1">
      <alignment horizontal="center" vertical="center"/>
    </xf>
    <xf numFmtId="0" fontId="9" fillId="2" borderId="0" xfId="1" applyFont="1" applyFill="1" applyBorder="1" applyAlignment="1">
      <alignment vertical="center" wrapText="1"/>
    </xf>
    <xf numFmtId="0" fontId="1" fillId="2" borderId="62" xfId="0" applyFont="1" applyFill="1" applyBorder="1" applyAlignment="1">
      <alignment horizontal="center" vertical="center"/>
    </xf>
    <xf numFmtId="0" fontId="9" fillId="2" borderId="46" xfId="0" applyFont="1" applyFill="1" applyBorder="1" applyAlignment="1">
      <alignment horizontal="center" vertical="center"/>
    </xf>
    <xf numFmtId="173" fontId="1" fillId="2" borderId="0" xfId="0" applyNumberFormat="1" applyFont="1" applyFill="1" applyBorder="1" applyAlignment="1">
      <alignment vertical="center"/>
    </xf>
    <xf numFmtId="0" fontId="1" fillId="2" borderId="0" xfId="1" applyFill="1" applyAlignment="1">
      <alignment horizontal="center" vertical="center"/>
    </xf>
    <xf numFmtId="0" fontId="1" fillId="2" borderId="0" xfId="1" applyFill="1" applyAlignment="1">
      <alignment horizontal="left" vertical="center"/>
    </xf>
    <xf numFmtId="0" fontId="1" fillId="2" borderId="0" xfId="1" applyFill="1" applyBorder="1" applyAlignment="1">
      <alignment horizontal="center" vertical="center"/>
    </xf>
    <xf numFmtId="0" fontId="34" fillId="2" borderId="41" xfId="0" applyFont="1" applyFill="1" applyBorder="1" applyAlignment="1">
      <alignment vertical="center"/>
    </xf>
    <xf numFmtId="0" fontId="11" fillId="2" borderId="0" xfId="0" applyFont="1" applyFill="1" applyBorder="1" applyAlignment="1">
      <alignment vertical="center"/>
    </xf>
    <xf numFmtId="0" fontId="11" fillId="2" borderId="0" xfId="0" applyFont="1" applyFill="1" applyBorder="1" applyAlignment="1">
      <alignment horizontal="left" vertical="center"/>
    </xf>
    <xf numFmtId="0" fontId="11" fillId="2" borderId="1" xfId="1" applyFont="1" applyFill="1" applyBorder="1" applyAlignment="1">
      <alignment vertical="center"/>
    </xf>
    <xf numFmtId="0" fontId="1" fillId="2" borderId="50"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37" fillId="2" borderId="0" xfId="1" applyFont="1" applyFill="1" applyBorder="1" applyAlignment="1">
      <alignment vertical="center"/>
    </xf>
    <xf numFmtId="0" fontId="38" fillId="2" borderId="0" xfId="0" applyFont="1" applyFill="1" applyBorder="1" applyAlignment="1">
      <alignment vertical="center"/>
    </xf>
    <xf numFmtId="0" fontId="38" fillId="2" borderId="0" xfId="0" applyFont="1" applyFill="1" applyAlignment="1">
      <alignment vertical="center"/>
    </xf>
    <xf numFmtId="0" fontId="1" fillId="2" borderId="2" xfId="1" applyFill="1" applyBorder="1" applyAlignment="1">
      <alignment horizontal="center" vertical="center"/>
    </xf>
    <xf numFmtId="0" fontId="1" fillId="2"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9" fontId="1" fillId="2" borderId="0" xfId="2" applyFont="1" applyFill="1" applyBorder="1" applyAlignment="1">
      <alignment horizontal="center" vertical="center"/>
    </xf>
    <xf numFmtId="0" fontId="1" fillId="2" borderId="0" xfId="0" applyFont="1" applyFill="1" applyBorder="1" applyAlignment="1">
      <alignment horizontal="right" vertical="center"/>
    </xf>
    <xf numFmtId="0" fontId="1" fillId="2" borderId="0" xfId="1" applyFill="1" applyBorder="1" applyAlignment="1">
      <alignment horizontal="center" vertical="center"/>
    </xf>
    <xf numFmtId="0" fontId="1" fillId="2" borderId="0" xfId="0" applyFont="1" applyFill="1" applyBorder="1" applyAlignment="1">
      <alignment horizontal="left" vertical="center"/>
    </xf>
    <xf numFmtId="0" fontId="39" fillId="2" borderId="0" xfId="1" applyFont="1" applyFill="1" applyAlignment="1">
      <alignment vertical="center"/>
    </xf>
    <xf numFmtId="0" fontId="1" fillId="2" borderId="0" xfId="1" applyFill="1" applyAlignment="1">
      <alignment vertical="top"/>
    </xf>
    <xf numFmtId="9" fontId="1" fillId="2" borderId="78" xfId="2" applyFont="1" applyFill="1" applyBorder="1" applyAlignment="1">
      <alignment horizontal="center" vertical="center"/>
    </xf>
    <xf numFmtId="0" fontId="1" fillId="2" borderId="78" xfId="1" applyFill="1" applyBorder="1" applyAlignment="1">
      <alignment horizontal="center" vertical="center"/>
    </xf>
    <xf numFmtId="0" fontId="1" fillId="2" borderId="78" xfId="1" applyFill="1" applyBorder="1" applyAlignment="1">
      <alignment horizontal="left" vertical="center"/>
    </xf>
    <xf numFmtId="0" fontId="1" fillId="2" borderId="79" xfId="1" applyFill="1" applyBorder="1" applyAlignment="1">
      <alignment horizontal="center" vertical="center"/>
    </xf>
    <xf numFmtId="173" fontId="1" fillId="2" borderId="78" xfId="1" applyNumberFormat="1" applyFill="1" applyBorder="1" applyAlignment="1">
      <alignment horizontal="left" vertical="center"/>
    </xf>
    <xf numFmtId="0" fontId="1" fillId="2" borderId="81" xfId="1" applyFill="1" applyBorder="1" applyAlignment="1">
      <alignment horizontal="center" vertical="center"/>
    </xf>
    <xf numFmtId="0" fontId="1" fillId="2" borderId="82" xfId="1" applyFill="1" applyBorder="1" applyAlignment="1">
      <alignment horizontal="center" vertical="center"/>
    </xf>
    <xf numFmtId="9" fontId="1" fillId="2" borderId="84" xfId="2" applyFont="1" applyFill="1" applyBorder="1" applyAlignment="1">
      <alignment horizontal="center" vertical="center"/>
    </xf>
    <xf numFmtId="0" fontId="1" fillId="2" borderId="84" xfId="1" applyFill="1" applyBorder="1" applyAlignment="1">
      <alignment horizontal="center" vertical="center"/>
    </xf>
    <xf numFmtId="0" fontId="1" fillId="2" borderId="85" xfId="1" applyFill="1" applyBorder="1" applyAlignment="1">
      <alignment horizontal="center" vertical="center"/>
    </xf>
    <xf numFmtId="173" fontId="1" fillId="2" borderId="84" xfId="1" applyNumberFormat="1" applyFill="1" applyBorder="1" applyAlignment="1">
      <alignment horizontal="left" vertical="center"/>
    </xf>
    <xf numFmtId="0" fontId="1" fillId="2" borderId="84" xfId="1" applyFill="1" applyBorder="1" applyAlignment="1">
      <alignment horizontal="left" vertical="center"/>
    </xf>
    <xf numFmtId="0" fontId="35" fillId="2" borderId="0" xfId="1" applyFont="1" applyFill="1" applyAlignment="1">
      <alignment vertical="center"/>
    </xf>
    <xf numFmtId="0" fontId="36" fillId="2" borderId="0" xfId="1" applyFont="1" applyFill="1" applyBorder="1" applyAlignment="1">
      <alignment vertical="center"/>
    </xf>
    <xf numFmtId="0" fontId="37" fillId="2" borderId="0" xfId="0" applyFont="1" applyFill="1" applyBorder="1" applyAlignment="1">
      <alignment horizontal="left" vertical="center"/>
    </xf>
    <xf numFmtId="0" fontId="37" fillId="2" borderId="0" xfId="1" applyFont="1" applyFill="1" applyBorder="1" applyAlignment="1">
      <alignment horizontal="center" vertical="center"/>
    </xf>
    <xf numFmtId="0" fontId="37" fillId="2" borderId="0" xfId="0" applyFont="1" applyFill="1" applyBorder="1" applyAlignment="1">
      <alignment horizontal="center" vertical="center"/>
    </xf>
    <xf numFmtId="0" fontId="1" fillId="2" borderId="8" xfId="0" applyFont="1" applyFill="1" applyBorder="1" applyAlignment="1">
      <alignment horizontal="center" vertical="center" wrapText="1"/>
    </xf>
    <xf numFmtId="0" fontId="0" fillId="2" borderId="0" xfId="0" applyFill="1" applyBorder="1" applyAlignment="1">
      <alignment horizontal="center"/>
    </xf>
    <xf numFmtId="0" fontId="0" fillId="2" borderId="0" xfId="0" applyFill="1" applyBorder="1"/>
    <xf numFmtId="0" fontId="1" fillId="2" borderId="80" xfId="1" applyFill="1" applyBorder="1" applyAlignment="1">
      <alignment horizontal="center" vertical="center"/>
    </xf>
    <xf numFmtId="0" fontId="1" fillId="2" borderId="86" xfId="1" applyFill="1" applyBorder="1" applyAlignment="1">
      <alignment horizontal="center" vertical="center"/>
    </xf>
    <xf numFmtId="0" fontId="24" fillId="2" borderId="1" xfId="1" applyFont="1" applyFill="1" applyBorder="1" applyAlignment="1">
      <alignment horizontal="left" vertical="center"/>
    </xf>
    <xf numFmtId="0" fontId="26" fillId="2" borderId="58" xfId="1" applyFont="1" applyFill="1" applyBorder="1" applyAlignment="1">
      <alignment vertical="center"/>
    </xf>
    <xf numFmtId="0" fontId="27" fillId="2" borderId="1" xfId="1" applyFont="1" applyFill="1" applyBorder="1" applyAlignment="1">
      <alignment vertical="center"/>
    </xf>
    <xf numFmtId="0" fontId="27" fillId="2" borderId="0" xfId="1" applyFont="1" applyFill="1" applyBorder="1" applyAlignment="1">
      <alignment vertical="center"/>
    </xf>
    <xf numFmtId="0" fontId="27" fillId="2" borderId="2" xfId="1" applyFont="1" applyFill="1" applyBorder="1" applyAlignment="1">
      <alignment vertical="center"/>
    </xf>
    <xf numFmtId="0" fontId="30" fillId="2" borderId="2" xfId="1" applyFont="1" applyFill="1" applyBorder="1" applyAlignment="1">
      <alignment vertical="center"/>
    </xf>
    <xf numFmtId="0" fontId="32" fillId="2" borderId="1" xfId="1" applyFont="1" applyFill="1" applyBorder="1" applyAlignment="1">
      <alignment vertical="center"/>
    </xf>
    <xf numFmtId="0" fontId="26" fillId="2" borderId="2" xfId="1" applyFont="1" applyFill="1" applyBorder="1" applyAlignment="1">
      <alignment vertical="center"/>
    </xf>
    <xf numFmtId="0" fontId="1" fillId="2" borderId="50" xfId="1" applyFont="1" applyFill="1" applyBorder="1" applyAlignment="1">
      <alignment vertical="center"/>
    </xf>
    <xf numFmtId="0" fontId="1" fillId="2" borderId="0" xfId="1" applyFont="1" applyFill="1" applyBorder="1" applyAlignment="1">
      <alignment horizontal="center" vertical="center"/>
    </xf>
    <xf numFmtId="0" fontId="1" fillId="2" borderId="0" xfId="0" applyFont="1" applyFill="1" applyBorder="1" applyAlignment="1">
      <alignment horizontal="center" vertical="center"/>
    </xf>
    <xf numFmtId="0" fontId="12" fillId="0" borderId="11" xfId="0" applyFont="1" applyBorder="1" applyAlignment="1">
      <alignment horizontal="center" vertical="center"/>
    </xf>
    <xf numFmtId="0" fontId="22" fillId="2" borderId="12" xfId="0" applyFont="1" applyFill="1" applyBorder="1" applyAlignment="1">
      <alignment vertical="top"/>
    </xf>
    <xf numFmtId="0" fontId="22" fillId="2" borderId="3" xfId="0" applyFont="1" applyFill="1" applyBorder="1" applyAlignment="1">
      <alignment vertical="top"/>
    </xf>
    <xf numFmtId="0" fontId="12" fillId="2" borderId="3"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 xfId="0" applyFont="1" applyFill="1" applyBorder="1" applyAlignment="1">
      <alignment horizontal="center" vertical="center"/>
    </xf>
    <xf numFmtId="0" fontId="41" fillId="2" borderId="13" xfId="0" applyFont="1" applyFill="1" applyBorder="1" applyAlignment="1">
      <alignment horizontal="left" vertical="center"/>
    </xf>
    <xf numFmtId="175" fontId="12" fillId="2" borderId="7" xfId="0" applyNumberFormat="1" applyFont="1" applyFill="1" applyBorder="1" applyAlignment="1">
      <alignment horizontal="center" vertical="center"/>
    </xf>
    <xf numFmtId="175" fontId="12" fillId="2" borderId="13" xfId="0" applyNumberFormat="1" applyFont="1" applyFill="1" applyBorder="1" applyAlignment="1">
      <alignment horizontal="center" vertical="center"/>
    </xf>
    <xf numFmtId="0" fontId="41" fillId="2" borderId="14" xfId="0" applyFont="1" applyFill="1" applyBorder="1" applyAlignment="1">
      <alignment horizontal="left" vertical="center"/>
    </xf>
    <xf numFmtId="0" fontId="22" fillId="2" borderId="13" xfId="0" applyFont="1" applyFill="1" applyBorder="1" applyAlignment="1">
      <alignment vertical="top"/>
    </xf>
    <xf numFmtId="175" fontId="12" fillId="2" borderId="3" xfId="0" applyNumberFormat="1" applyFont="1" applyFill="1" applyBorder="1" applyAlignment="1">
      <alignment horizontal="center" vertical="center"/>
    </xf>
    <xf numFmtId="175" fontId="12" fillId="2" borderId="12" xfId="0" applyNumberFormat="1" applyFont="1" applyFill="1" applyBorder="1" applyAlignment="1">
      <alignment horizontal="center" vertical="center"/>
    </xf>
    <xf numFmtId="0" fontId="5" fillId="2" borderId="13" xfId="0" applyFont="1" applyFill="1" applyBorder="1" applyAlignment="1">
      <alignment horizontal="left" vertical="center"/>
    </xf>
    <xf numFmtId="175" fontId="1" fillId="2" borderId="7" xfId="0" applyNumberFormat="1" applyFont="1" applyFill="1" applyBorder="1" applyAlignment="1">
      <alignment horizontal="center" vertical="center"/>
    </xf>
    <xf numFmtId="175" fontId="1" fillId="2" borderId="13" xfId="0" applyNumberFormat="1" applyFont="1" applyFill="1" applyBorder="1" applyAlignment="1">
      <alignment horizontal="center" vertical="center"/>
    </xf>
    <xf numFmtId="0" fontId="5" fillId="2" borderId="14" xfId="0" applyFont="1" applyFill="1" applyBorder="1" applyAlignment="1">
      <alignment horizontal="left" vertical="center"/>
    </xf>
    <xf numFmtId="175" fontId="12" fillId="2" borderId="6" xfId="0" applyNumberFormat="1" applyFont="1" applyFill="1" applyBorder="1" applyAlignment="1">
      <alignment horizontal="center" vertical="center"/>
    </xf>
    <xf numFmtId="175" fontId="12" fillId="2" borderId="14" xfId="0" applyNumberFormat="1" applyFont="1" applyFill="1" applyBorder="1" applyAlignment="1">
      <alignment horizontal="center" vertical="center"/>
    </xf>
    <xf numFmtId="10" fontId="12" fillId="2" borderId="11" xfId="2" applyNumberFormat="1"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0" xfId="1" applyFill="1" applyBorder="1" applyAlignment="1">
      <alignment horizontal="center" vertical="center"/>
    </xf>
    <xf numFmtId="172" fontId="42" fillId="2" borderId="0" xfId="0" applyNumberFormat="1" applyFont="1" applyFill="1" applyBorder="1" applyAlignment="1">
      <alignment horizontal="center" vertical="center"/>
    </xf>
    <xf numFmtId="172" fontId="1" fillId="2" borderId="0" xfId="1" applyNumberFormat="1" applyFont="1" applyFill="1" applyBorder="1" applyAlignment="1">
      <alignment vertical="center"/>
    </xf>
    <xf numFmtId="0" fontId="1" fillId="2" borderId="54" xfId="1" applyFill="1" applyBorder="1" applyAlignment="1">
      <alignment vertical="center"/>
    </xf>
    <xf numFmtId="167" fontId="1" fillId="2" borderId="0" xfId="1" applyNumberFormat="1" applyFill="1" applyBorder="1" applyAlignment="1">
      <alignment vertical="center"/>
    </xf>
    <xf numFmtId="0" fontId="20" fillId="2" borderId="0" xfId="1" applyFont="1" applyFill="1" applyBorder="1" applyAlignment="1">
      <alignment horizontal="right" vertical="center"/>
    </xf>
    <xf numFmtId="9" fontId="1" fillId="2" borderId="0" xfId="2" applyFont="1" applyFill="1" applyBorder="1" applyAlignment="1">
      <alignment horizontal="center" vertical="center"/>
    </xf>
    <xf numFmtId="0" fontId="1" fillId="2" borderId="0" xfId="1" applyFill="1" applyBorder="1" applyAlignment="1">
      <alignment horizontal="center" vertical="center"/>
    </xf>
    <xf numFmtId="0" fontId="1" fillId="2" borderId="0" xfId="1" applyFill="1" applyAlignment="1">
      <alignment horizontal="left" vertical="center"/>
    </xf>
    <xf numFmtId="0" fontId="1" fillId="2" borderId="1" xfId="1" applyFill="1" applyBorder="1" applyAlignment="1">
      <alignment horizontal="left" vertical="center"/>
    </xf>
    <xf numFmtId="167" fontId="0" fillId="0" borderId="78" xfId="0" applyNumberFormat="1" applyFill="1" applyBorder="1" applyAlignment="1">
      <alignment horizontal="center" vertical="center"/>
    </xf>
    <xf numFmtId="167" fontId="0" fillId="0" borderId="81" xfId="0" applyNumberFormat="1" applyFill="1" applyBorder="1" applyAlignment="1">
      <alignment horizontal="center" vertical="center"/>
    </xf>
    <xf numFmtId="167" fontId="0" fillId="0" borderId="84" xfId="0" applyNumberFormat="1" applyFill="1" applyBorder="1" applyAlignment="1">
      <alignment horizontal="center" vertical="center"/>
    </xf>
    <xf numFmtId="177" fontId="1" fillId="0" borderId="80" xfId="1" applyNumberFormat="1" applyFill="1" applyBorder="1" applyAlignment="1">
      <alignment horizontal="center" vertical="center"/>
    </xf>
    <xf numFmtId="0" fontId="1" fillId="0" borderId="78" xfId="1" applyFill="1" applyBorder="1" applyAlignment="1">
      <alignment horizontal="center" vertical="center"/>
    </xf>
    <xf numFmtId="0" fontId="1" fillId="0" borderId="81" xfId="1" applyFill="1" applyBorder="1" applyAlignment="1">
      <alignment horizontal="center" vertical="center"/>
    </xf>
    <xf numFmtId="0" fontId="1" fillId="0" borderId="84" xfId="1" applyFill="1" applyBorder="1" applyAlignment="1">
      <alignment horizontal="center" vertical="center"/>
    </xf>
    <xf numFmtId="0" fontId="1" fillId="0" borderId="82" xfId="1" applyFill="1" applyBorder="1" applyAlignment="1">
      <alignment horizontal="center" vertical="center"/>
    </xf>
    <xf numFmtId="0" fontId="1" fillId="0" borderId="85" xfId="1" applyFill="1" applyBorder="1" applyAlignment="1">
      <alignment horizontal="center" vertical="center"/>
    </xf>
    <xf numFmtId="1" fontId="9" fillId="2" borderId="0" xfId="1" applyNumberFormat="1" applyFont="1" applyFill="1" applyBorder="1" applyAlignment="1">
      <alignment vertical="center"/>
    </xf>
    <xf numFmtId="0" fontId="11" fillId="2" borderId="0" xfId="1" applyFont="1" applyFill="1" applyAlignment="1">
      <alignment horizontal="left" vertical="center"/>
    </xf>
    <xf numFmtId="0" fontId="11" fillId="2" borderId="0" xfId="1" applyFont="1" applyFill="1" applyAlignment="1">
      <alignment horizontal="center" vertical="center"/>
    </xf>
    <xf numFmtId="0" fontId="45" fillId="2" borderId="0" xfId="1" applyFont="1" applyFill="1" applyBorder="1" applyAlignment="1">
      <alignment vertical="center"/>
    </xf>
    <xf numFmtId="0" fontId="24" fillId="2" borderId="0" xfId="1" applyFont="1" applyFill="1" applyAlignment="1">
      <alignment horizontal="center" vertical="center"/>
    </xf>
    <xf numFmtId="0" fontId="40" fillId="2" borderId="0" xfId="0" applyFont="1" applyFill="1" applyAlignment="1">
      <alignment horizontal="center" vertical="center"/>
    </xf>
    <xf numFmtId="0" fontId="44" fillId="2" borderId="0" xfId="0" applyFont="1" applyFill="1"/>
    <xf numFmtId="0" fontId="44" fillId="2" borderId="1" xfId="0" applyFont="1" applyFill="1" applyBorder="1" applyAlignment="1">
      <alignment horizontal="left"/>
    </xf>
    <xf numFmtId="173" fontId="1" fillId="2" borderId="80" xfId="1" applyNumberFormat="1" applyFill="1" applyBorder="1" applyAlignment="1">
      <alignment horizontal="left" vertical="center"/>
    </xf>
    <xf numFmtId="2" fontId="1" fillId="2" borderId="78" xfId="1" applyNumberFormat="1" applyFill="1" applyBorder="1" applyAlignment="1">
      <alignment horizontal="center" vertical="center"/>
    </xf>
    <xf numFmtId="173" fontId="1" fillId="2" borderId="86" xfId="1" applyNumberFormat="1" applyFill="1" applyBorder="1" applyAlignment="1">
      <alignment horizontal="left" vertical="center"/>
    </xf>
    <xf numFmtId="2" fontId="1" fillId="2" borderId="84" xfId="1" applyNumberFormat="1" applyFill="1" applyBorder="1" applyAlignment="1">
      <alignment horizontal="center" vertical="center"/>
    </xf>
    <xf numFmtId="0" fontId="1" fillId="4" borderId="17" xfId="0" applyFont="1" applyFill="1" applyBorder="1" applyAlignment="1">
      <alignment horizontal="center" vertical="center"/>
    </xf>
    <xf numFmtId="0" fontId="6" fillId="0" borderId="0" xfId="0" applyFont="1" applyAlignment="1">
      <alignment vertical="center"/>
    </xf>
    <xf numFmtId="0" fontId="6" fillId="2" borderId="0" xfId="0" applyFont="1" applyFill="1" applyAlignment="1">
      <alignment vertical="center"/>
    </xf>
    <xf numFmtId="0" fontId="50" fillId="2" borderId="0" xfId="0" applyFont="1" applyFill="1" applyBorder="1" applyAlignment="1">
      <alignment vertical="center"/>
    </xf>
    <xf numFmtId="0" fontId="50" fillId="2" borderId="55" xfId="0" applyFont="1" applyFill="1" applyBorder="1" applyAlignment="1">
      <alignment horizontal="center" vertical="center"/>
    </xf>
    <xf numFmtId="0" fontId="50" fillId="2" borderId="87" xfId="0" applyFont="1" applyFill="1" applyBorder="1" applyAlignment="1">
      <alignment horizontal="center" vertical="center"/>
    </xf>
    <xf numFmtId="0" fontId="50" fillId="2" borderId="72" xfId="0" applyFont="1" applyFill="1" applyBorder="1" applyAlignment="1">
      <alignment horizontal="center" vertical="center"/>
    </xf>
    <xf numFmtId="0" fontId="51" fillId="2" borderId="0" xfId="0" applyFont="1" applyFill="1" applyBorder="1" applyAlignment="1">
      <alignment vertical="center"/>
    </xf>
    <xf numFmtId="0" fontId="7" fillId="3" borderId="45" xfId="0" applyFont="1" applyFill="1" applyBorder="1" applyAlignment="1">
      <alignment horizontal="left" vertical="center"/>
    </xf>
    <xf numFmtId="0" fontId="6" fillId="3" borderId="51" xfId="0" applyFont="1" applyFill="1" applyBorder="1" applyAlignment="1">
      <alignment horizontal="left" vertical="center"/>
    </xf>
    <xf numFmtId="175" fontId="6" fillId="2" borderId="45" xfId="0" applyNumberFormat="1" applyFont="1" applyFill="1" applyBorder="1" applyAlignment="1">
      <alignment horizontal="center" vertical="center"/>
    </xf>
    <xf numFmtId="175" fontId="6" fillId="2" borderId="27" xfId="0" applyNumberFormat="1" applyFont="1" applyFill="1" applyBorder="1" applyAlignment="1">
      <alignment horizontal="center" vertical="center"/>
    </xf>
    <xf numFmtId="175" fontId="6" fillId="2" borderId="28" xfId="0" applyNumberFormat="1" applyFont="1" applyFill="1" applyBorder="1" applyAlignment="1">
      <alignment horizontal="center" vertical="center"/>
    </xf>
    <xf numFmtId="175" fontId="6" fillId="2" borderId="26" xfId="0" applyNumberFormat="1" applyFont="1" applyFill="1" applyBorder="1" applyAlignment="1">
      <alignment horizontal="center" vertical="center"/>
    </xf>
    <xf numFmtId="0" fontId="6" fillId="3" borderId="0" xfId="0" applyFont="1" applyFill="1" applyBorder="1" applyAlignment="1">
      <alignment horizontal="center" vertical="center"/>
    </xf>
    <xf numFmtId="0" fontId="6" fillId="3" borderId="0" xfId="0" applyFont="1" applyFill="1" applyBorder="1" applyAlignment="1">
      <alignment horizontal="left" vertical="center"/>
    </xf>
    <xf numFmtId="0" fontId="49" fillId="2" borderId="0" xfId="0" applyFont="1" applyFill="1" applyBorder="1" applyAlignment="1">
      <alignment vertical="center"/>
    </xf>
    <xf numFmtId="0" fontId="47" fillId="2" borderId="42" xfId="0" applyFont="1" applyFill="1" applyBorder="1" applyAlignment="1">
      <alignment vertical="center"/>
    </xf>
    <xf numFmtId="0" fontId="47" fillId="2" borderId="0" xfId="0" applyFont="1" applyFill="1" applyBorder="1" applyAlignment="1">
      <alignment vertical="center"/>
    </xf>
    <xf numFmtId="0" fontId="16" fillId="2" borderId="22" xfId="1" applyFont="1" applyFill="1" applyBorder="1" applyAlignment="1">
      <alignment horizontal="center" vertical="center"/>
    </xf>
    <xf numFmtId="0" fontId="16" fillId="2" borderId="23" xfId="1" applyFont="1" applyFill="1" applyBorder="1" applyAlignment="1">
      <alignment horizontal="center" vertical="center"/>
    </xf>
    <xf numFmtId="175" fontId="6" fillId="3" borderId="8" xfId="0" applyNumberFormat="1" applyFont="1" applyFill="1" applyBorder="1" applyAlignment="1">
      <alignment horizontal="center" vertical="center"/>
    </xf>
    <xf numFmtId="175" fontId="6" fillId="2" borderId="13" xfId="0" applyNumberFormat="1" applyFont="1" applyFill="1" applyBorder="1" applyAlignment="1">
      <alignment horizontal="center" vertical="center"/>
    </xf>
    <xf numFmtId="175" fontId="6" fillId="2" borderId="7" xfId="0" applyNumberFormat="1" applyFont="1" applyFill="1" applyBorder="1" applyAlignment="1">
      <alignment horizontal="center" vertical="center"/>
    </xf>
    <xf numFmtId="175" fontId="6" fillId="3" borderId="22" xfId="0" applyNumberFormat="1" applyFont="1" applyFill="1" applyBorder="1" applyAlignment="1">
      <alignment horizontal="center" vertical="center"/>
    </xf>
    <xf numFmtId="175" fontId="6" fillId="2" borderId="23" xfId="0" applyNumberFormat="1" applyFont="1" applyFill="1" applyBorder="1" applyAlignment="1">
      <alignment horizontal="center" vertical="center"/>
    </xf>
    <xf numFmtId="0" fontId="52" fillId="2" borderId="42" xfId="0" applyFont="1" applyFill="1" applyBorder="1" applyAlignment="1">
      <alignment vertical="center"/>
    </xf>
    <xf numFmtId="0" fontId="7" fillId="2" borderId="22" xfId="1" applyFont="1" applyFill="1" applyBorder="1" applyAlignment="1">
      <alignment horizontal="center" vertical="center"/>
    </xf>
    <xf numFmtId="0" fontId="7" fillId="2" borderId="23" xfId="1" applyFont="1" applyFill="1" applyBorder="1" applyAlignment="1">
      <alignment horizontal="center" vertical="center"/>
    </xf>
    <xf numFmtId="175" fontId="6" fillId="3" borderId="13" xfId="0" applyNumberFormat="1" applyFont="1" applyFill="1" applyBorder="1" applyAlignment="1">
      <alignment horizontal="center" vertical="center"/>
    </xf>
    <xf numFmtId="0" fontId="52" fillId="2" borderId="44" xfId="0" applyFont="1" applyFill="1" applyBorder="1" applyAlignment="1">
      <alignment vertical="center"/>
    </xf>
    <xf numFmtId="0" fontId="47" fillId="2" borderId="2" xfId="0" applyFont="1" applyFill="1" applyBorder="1" applyAlignment="1">
      <alignment vertical="center"/>
    </xf>
    <xf numFmtId="0" fontId="47" fillId="2" borderId="43" xfId="0" applyFont="1" applyFill="1" applyBorder="1" applyAlignment="1">
      <alignment vertical="center"/>
    </xf>
    <xf numFmtId="0" fontId="47" fillId="2" borderId="1" xfId="0" applyFont="1" applyFill="1" applyBorder="1" applyAlignment="1">
      <alignment vertical="center"/>
    </xf>
    <xf numFmtId="175" fontId="6" fillId="3" borderId="7" xfId="0" applyNumberFormat="1" applyFont="1" applyFill="1" applyBorder="1" applyAlignment="1">
      <alignment horizontal="center" vertical="center"/>
    </xf>
    <xf numFmtId="175" fontId="6" fillId="3" borderId="23" xfId="0" applyNumberFormat="1" applyFont="1" applyFill="1" applyBorder="1" applyAlignment="1">
      <alignment horizontal="center" vertical="center"/>
    </xf>
    <xf numFmtId="0" fontId="7" fillId="2" borderId="24" xfId="1" applyFont="1" applyFill="1" applyBorder="1" applyAlignment="1">
      <alignment horizontal="center" vertical="center"/>
    </xf>
    <xf numFmtId="0" fontId="7" fillId="2" borderId="25" xfId="1" applyFont="1" applyFill="1" applyBorder="1" applyAlignment="1">
      <alignment horizontal="center" vertical="center"/>
    </xf>
    <xf numFmtId="0" fontId="16" fillId="2" borderId="20" xfId="1" applyFont="1" applyFill="1" applyBorder="1" applyAlignment="1">
      <alignment horizontal="center" vertical="center"/>
    </xf>
    <xf numFmtId="0" fontId="16" fillId="2" borderId="21" xfId="1" applyFont="1" applyFill="1" applyBorder="1" applyAlignment="1">
      <alignment horizontal="center" vertical="center"/>
    </xf>
    <xf numFmtId="175" fontId="6" fillId="8" borderId="12" xfId="0" applyNumberFormat="1" applyFont="1" applyFill="1" applyBorder="1" applyAlignment="1">
      <alignment horizontal="center" vertical="center"/>
    </xf>
    <xf numFmtId="175" fontId="6" fillId="8" borderId="20" xfId="0" applyNumberFormat="1" applyFont="1" applyFill="1" applyBorder="1" applyAlignment="1">
      <alignment horizontal="center" vertical="center"/>
    </xf>
    <xf numFmtId="175" fontId="6" fillId="8" borderId="21" xfId="0" applyNumberFormat="1" applyFont="1" applyFill="1" applyBorder="1" applyAlignment="1">
      <alignment horizontal="center" vertical="center"/>
    </xf>
    <xf numFmtId="175" fontId="6" fillId="8" borderId="13" xfId="0" applyNumberFormat="1" applyFont="1" applyFill="1" applyBorder="1" applyAlignment="1">
      <alignment horizontal="center" vertical="center"/>
    </xf>
    <xf numFmtId="175" fontId="6" fillId="8" borderId="22" xfId="0" applyNumberFormat="1" applyFont="1" applyFill="1" applyBorder="1" applyAlignment="1">
      <alignment horizontal="center" vertical="center"/>
    </xf>
    <xf numFmtId="175" fontId="6" fillId="8" borderId="23" xfId="0" applyNumberFormat="1" applyFont="1" applyFill="1" applyBorder="1" applyAlignment="1">
      <alignment horizontal="center" vertical="center"/>
    </xf>
    <xf numFmtId="0" fontId="8" fillId="2" borderId="42" xfId="0" applyFont="1" applyFill="1" applyBorder="1" applyAlignment="1">
      <alignment vertical="center"/>
    </xf>
    <xf numFmtId="0" fontId="52" fillId="2" borderId="45" xfId="0" applyFont="1" applyFill="1" applyBorder="1" applyAlignment="1">
      <alignment vertical="center"/>
    </xf>
    <xf numFmtId="0" fontId="47" fillId="2" borderId="50" xfId="0" applyFont="1" applyFill="1" applyBorder="1" applyAlignment="1">
      <alignment vertical="center"/>
    </xf>
    <xf numFmtId="0" fontId="6" fillId="2" borderId="0" xfId="0" applyFont="1" applyFill="1" applyBorder="1" applyAlignment="1">
      <alignment vertical="center"/>
    </xf>
    <xf numFmtId="175" fontId="6" fillId="2" borderId="8" xfId="0" applyNumberFormat="1" applyFont="1" applyFill="1" applyBorder="1" applyAlignment="1">
      <alignment horizontal="center" vertical="center"/>
    </xf>
    <xf numFmtId="175" fontId="6" fillId="2" borderId="22" xfId="0" applyNumberFormat="1" applyFont="1" applyFill="1" applyBorder="1" applyAlignment="1">
      <alignment horizontal="center" vertical="center"/>
    </xf>
    <xf numFmtId="0" fontId="51" fillId="2" borderId="89" xfId="0" applyFont="1" applyFill="1" applyBorder="1" applyAlignment="1">
      <alignment horizontal="center" vertical="center"/>
    </xf>
    <xf numFmtId="0" fontId="49" fillId="2" borderId="0" xfId="0" applyFont="1" applyFill="1" applyBorder="1" applyAlignment="1">
      <alignment horizontal="center" vertical="center"/>
    </xf>
    <xf numFmtId="175" fontId="6" fillId="2" borderId="5" xfId="0" applyNumberFormat="1" applyFont="1" applyFill="1" applyBorder="1" applyAlignment="1">
      <alignment horizontal="center" vertical="center"/>
    </xf>
    <xf numFmtId="175" fontId="6" fillId="2" borderId="14" xfId="0" applyNumberFormat="1" applyFont="1" applyFill="1" applyBorder="1" applyAlignment="1">
      <alignment horizontal="center" vertical="center"/>
    </xf>
    <xf numFmtId="175" fontId="6" fillId="8" borderId="14" xfId="0" applyNumberFormat="1" applyFont="1" applyFill="1" applyBorder="1" applyAlignment="1">
      <alignment horizontal="center" vertical="center"/>
    </xf>
    <xf numFmtId="175" fontId="6" fillId="2" borderId="24" xfId="0" applyNumberFormat="1" applyFont="1" applyFill="1" applyBorder="1" applyAlignment="1">
      <alignment horizontal="center" vertical="center"/>
    </xf>
    <xf numFmtId="175" fontId="6" fillId="8" borderId="25" xfId="0" applyNumberFormat="1" applyFont="1" applyFill="1" applyBorder="1" applyAlignment="1">
      <alignment horizontal="center" vertical="center"/>
    </xf>
    <xf numFmtId="175" fontId="6" fillId="2" borderId="4" xfId="0" applyNumberFormat="1" applyFont="1" applyFill="1" applyBorder="1" applyAlignment="1">
      <alignment horizontal="center" vertical="center"/>
    </xf>
    <xf numFmtId="175" fontId="6" fillId="2" borderId="12" xfId="0" applyNumberFormat="1" applyFont="1" applyFill="1" applyBorder="1" applyAlignment="1">
      <alignment horizontal="center" vertical="center"/>
    </xf>
    <xf numFmtId="175" fontId="6" fillId="7" borderId="12" xfId="0" applyNumberFormat="1" applyFont="1" applyFill="1" applyBorder="1" applyAlignment="1">
      <alignment horizontal="center" vertical="center"/>
    </xf>
    <xf numFmtId="175" fontId="6" fillId="2" borderId="20" xfId="0" applyNumberFormat="1" applyFont="1" applyFill="1" applyBorder="1" applyAlignment="1">
      <alignment horizontal="center" vertical="center"/>
    </xf>
    <xf numFmtId="175" fontId="6" fillId="7" borderId="21" xfId="0" applyNumberFormat="1" applyFont="1" applyFill="1" applyBorder="1" applyAlignment="1">
      <alignment horizontal="center" vertical="center"/>
    </xf>
    <xf numFmtId="175" fontId="51" fillId="2" borderId="8" xfId="0" applyNumberFormat="1" applyFont="1" applyFill="1" applyBorder="1" applyAlignment="1">
      <alignment horizontal="center" vertical="center"/>
    </xf>
    <xf numFmtId="175" fontId="6" fillId="7" borderId="13" xfId="0" applyNumberFormat="1" applyFont="1" applyFill="1" applyBorder="1" applyAlignment="1">
      <alignment horizontal="center" vertical="center"/>
    </xf>
    <xf numFmtId="175" fontId="51" fillId="2" borderId="22" xfId="0" applyNumberFormat="1" applyFont="1" applyFill="1" applyBorder="1" applyAlignment="1">
      <alignment horizontal="center" vertical="center"/>
    </xf>
    <xf numFmtId="175" fontId="6" fillId="7" borderId="23" xfId="0" applyNumberFormat="1" applyFont="1" applyFill="1" applyBorder="1" applyAlignment="1">
      <alignment horizontal="center" vertical="center"/>
    </xf>
    <xf numFmtId="0" fontId="1" fillId="2" borderId="0" xfId="1" applyFill="1" applyAlignment="1">
      <alignment horizontal="left" vertical="center"/>
    </xf>
    <xf numFmtId="0" fontId="53" fillId="2" borderId="0" xfId="1" applyFont="1" applyFill="1" applyAlignment="1">
      <alignment horizontal="center" vertical="center"/>
    </xf>
    <xf numFmtId="0" fontId="46" fillId="2" borderId="0" xfId="1" applyFont="1" applyFill="1" applyAlignment="1">
      <alignment vertical="center" wrapText="1"/>
    </xf>
    <xf numFmtId="0" fontId="35" fillId="2" borderId="0" xfId="1" applyFont="1" applyFill="1"/>
    <xf numFmtId="175" fontId="7" fillId="0" borderId="45" xfId="0" applyNumberFormat="1" applyFont="1" applyFill="1" applyBorder="1" applyAlignment="1">
      <alignment horizontal="center" vertical="center"/>
    </xf>
    <xf numFmtId="175" fontId="7" fillId="0" borderId="27" xfId="0" applyNumberFormat="1" applyFont="1" applyFill="1" applyBorder="1" applyAlignment="1">
      <alignment horizontal="center" vertical="center"/>
    </xf>
    <xf numFmtId="175" fontId="8" fillId="2" borderId="42" xfId="0" applyNumberFormat="1" applyFont="1" applyFill="1" applyBorder="1" applyAlignment="1">
      <alignment horizontal="center" vertical="center"/>
    </xf>
    <xf numFmtId="175" fontId="8" fillId="2" borderId="13" xfId="0" applyNumberFormat="1" applyFont="1" applyFill="1" applyBorder="1" applyAlignment="1">
      <alignment horizontal="center" vertical="center"/>
    </xf>
    <xf numFmtId="175" fontId="8" fillId="2" borderId="44" xfId="0" applyNumberFormat="1" applyFont="1" applyFill="1" applyBorder="1" applyAlignment="1">
      <alignment horizontal="center" vertical="center"/>
    </xf>
    <xf numFmtId="175" fontId="8" fillId="2" borderId="14" xfId="0" applyNumberFormat="1" applyFont="1" applyFill="1" applyBorder="1" applyAlignment="1">
      <alignment horizontal="center" vertical="center"/>
    </xf>
    <xf numFmtId="175" fontId="8" fillId="2" borderId="45" xfId="0" applyNumberFormat="1" applyFont="1" applyFill="1" applyBorder="1" applyAlignment="1">
      <alignment horizontal="center" vertical="center"/>
    </xf>
    <xf numFmtId="175" fontId="8" fillId="2" borderId="27" xfId="0" applyNumberFormat="1" applyFont="1" applyFill="1" applyBorder="1" applyAlignment="1">
      <alignment horizontal="center" vertical="center"/>
    </xf>
    <xf numFmtId="175" fontId="7" fillId="2" borderId="28" xfId="0" applyNumberFormat="1" applyFont="1" applyFill="1" applyBorder="1" applyAlignment="1">
      <alignment horizontal="center" vertical="center"/>
    </xf>
    <xf numFmtId="175" fontId="35" fillId="2" borderId="0" xfId="0" applyNumberFormat="1" applyFont="1" applyFill="1" applyBorder="1" applyAlignment="1">
      <alignment horizontal="center" vertical="center"/>
    </xf>
    <xf numFmtId="175" fontId="6" fillId="0" borderId="51" xfId="0" applyNumberFormat="1" applyFont="1" applyFill="1" applyBorder="1" applyAlignment="1">
      <alignment horizontal="center" vertical="center"/>
    </xf>
    <xf numFmtId="167" fontId="1" fillId="2" borderId="38" xfId="1" applyNumberFormat="1" applyFill="1" applyBorder="1" applyAlignment="1">
      <alignment horizontal="center" vertical="center"/>
    </xf>
    <xf numFmtId="167" fontId="1" fillId="2" borderId="19" xfId="1" applyNumberFormat="1" applyFill="1" applyBorder="1" applyAlignment="1">
      <alignment horizontal="center" vertical="center"/>
    </xf>
    <xf numFmtId="167" fontId="1" fillId="2" borderId="53" xfId="1" applyNumberFormat="1" applyFill="1" applyBorder="1" applyAlignment="1">
      <alignment horizontal="center" vertical="center"/>
    </xf>
    <xf numFmtId="0" fontId="12" fillId="2" borderId="25" xfId="1" applyFont="1" applyFill="1" applyBorder="1" applyAlignment="1">
      <alignment horizontal="center" vertical="center"/>
    </xf>
    <xf numFmtId="0" fontId="12" fillId="2" borderId="22" xfId="1" applyFont="1" applyFill="1" applyBorder="1" applyAlignment="1">
      <alignment horizontal="center" vertical="center"/>
    </xf>
    <xf numFmtId="0" fontId="12" fillId="2" borderId="23"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0" xfId="1" quotePrefix="1" applyFont="1" applyFill="1" applyAlignment="1">
      <alignment horizontal="left" vertical="center"/>
    </xf>
    <xf numFmtId="0" fontId="50" fillId="2" borderId="0" xfId="0" applyFont="1" applyFill="1" applyBorder="1" applyAlignment="1">
      <alignment horizontal="center" vertical="center"/>
    </xf>
    <xf numFmtId="175" fontId="6" fillId="2" borderId="0" xfId="0" applyNumberFormat="1" applyFont="1" applyFill="1" applyBorder="1" applyAlignment="1">
      <alignment horizontal="center" vertical="center"/>
    </xf>
    <xf numFmtId="0" fontId="50" fillId="2" borderId="74" xfId="0" applyFont="1" applyFill="1" applyBorder="1" applyAlignment="1">
      <alignment horizontal="center" vertical="center"/>
    </xf>
    <xf numFmtId="0" fontId="5" fillId="2" borderId="19" xfId="1" applyFont="1" applyFill="1" applyBorder="1" applyAlignment="1">
      <alignment horizontal="center" vertical="center"/>
    </xf>
    <xf numFmtId="0" fontId="50" fillId="2" borderId="41" xfId="0" applyFont="1" applyFill="1" applyBorder="1" applyAlignment="1">
      <alignment horizontal="center" vertical="center"/>
    </xf>
    <xf numFmtId="0" fontId="7" fillId="2" borderId="42" xfId="0" applyFont="1" applyFill="1" applyBorder="1" applyAlignment="1">
      <alignment horizontal="left" vertical="center"/>
    </xf>
    <xf numFmtId="0" fontId="6" fillId="2" borderId="0" xfId="0" applyFont="1" applyFill="1" applyBorder="1" applyAlignment="1">
      <alignment horizontal="left" vertical="center"/>
    </xf>
    <xf numFmtId="0" fontId="7" fillId="2" borderId="41" xfId="0" applyFont="1" applyFill="1" applyBorder="1" applyAlignment="1">
      <alignment horizontal="left" vertical="center"/>
    </xf>
    <xf numFmtId="0" fontId="6" fillId="2" borderId="41" xfId="0" applyFont="1" applyFill="1" applyBorder="1" applyAlignment="1">
      <alignment horizontal="left" vertical="center"/>
    </xf>
    <xf numFmtId="0" fontId="6" fillId="2" borderId="41" xfId="0" applyFont="1" applyFill="1" applyBorder="1" applyAlignment="1">
      <alignment horizontal="center" vertical="center"/>
    </xf>
    <xf numFmtId="0" fontId="49" fillId="2" borderId="0" xfId="0" applyFont="1" applyFill="1" applyAlignment="1">
      <alignment vertical="center"/>
    </xf>
    <xf numFmtId="0" fontId="35" fillId="2" borderId="39" xfId="0" applyFont="1" applyFill="1" applyBorder="1" applyAlignment="1">
      <alignment vertical="center"/>
    </xf>
    <xf numFmtId="0" fontId="35" fillId="2" borderId="41" xfId="0" applyFont="1" applyFill="1" applyBorder="1" applyAlignment="1">
      <alignment vertical="center"/>
    </xf>
    <xf numFmtId="0" fontId="49" fillId="2" borderId="41" xfId="0" applyFont="1" applyFill="1" applyBorder="1" applyAlignment="1">
      <alignment horizontal="center" vertical="center"/>
    </xf>
    <xf numFmtId="0" fontId="49" fillId="2" borderId="41" xfId="0" applyFont="1" applyFill="1" applyBorder="1" applyAlignment="1">
      <alignment vertical="center"/>
    </xf>
    <xf numFmtId="0" fontId="49" fillId="2" borderId="73" xfId="0" applyFont="1" applyFill="1" applyBorder="1" applyAlignment="1">
      <alignment horizontal="center" vertical="center"/>
    </xf>
    <xf numFmtId="0" fontId="35" fillId="2" borderId="42" xfId="0" applyFont="1" applyFill="1" applyBorder="1" applyAlignment="1">
      <alignment vertical="center"/>
    </xf>
    <xf numFmtId="0" fontId="35" fillId="2" borderId="0" xfId="0" applyFont="1" applyFill="1" applyBorder="1" applyAlignment="1">
      <alignment vertical="center"/>
    </xf>
    <xf numFmtId="0" fontId="49" fillId="2" borderId="74" xfId="0" applyFont="1" applyFill="1" applyBorder="1" applyAlignment="1">
      <alignment horizontal="center" vertical="center"/>
    </xf>
    <xf numFmtId="178" fontId="1" fillId="2" borderId="0" xfId="1" applyNumberFormat="1" applyFont="1" applyFill="1" applyBorder="1" applyAlignment="1">
      <alignment vertical="center"/>
    </xf>
    <xf numFmtId="175" fontId="51" fillId="2" borderId="42" xfId="0" applyNumberFormat="1" applyFont="1" applyFill="1" applyBorder="1" applyAlignment="1">
      <alignment horizontal="center" vertical="center"/>
    </xf>
    <xf numFmtId="175" fontId="49" fillId="2" borderId="13" xfId="0" applyNumberFormat="1" applyFont="1" applyFill="1" applyBorder="1" applyAlignment="1">
      <alignment horizontal="center" vertical="center"/>
    </xf>
    <xf numFmtId="0" fontId="49" fillId="2" borderId="7" xfId="0" applyFont="1" applyFill="1" applyBorder="1" applyAlignment="1">
      <alignment horizontal="center" vertical="center"/>
    </xf>
    <xf numFmtId="175" fontId="49" fillId="2" borderId="42" xfId="0" applyNumberFormat="1" applyFont="1" applyFill="1" applyBorder="1" applyAlignment="1">
      <alignment horizontal="center" vertical="center"/>
    </xf>
    <xf numFmtId="0" fontId="35" fillId="2" borderId="45" xfId="0" applyFont="1" applyFill="1" applyBorder="1" applyAlignment="1">
      <alignment vertical="center"/>
    </xf>
    <xf numFmtId="0" fontId="35" fillId="2" borderId="50" xfId="0" applyFont="1" applyFill="1" applyBorder="1" applyAlignment="1">
      <alignment vertical="center"/>
    </xf>
    <xf numFmtId="0" fontId="49" fillId="2" borderId="50" xfId="0" applyFont="1" applyFill="1" applyBorder="1" applyAlignment="1">
      <alignment horizontal="center" vertical="center"/>
    </xf>
    <xf numFmtId="0" fontId="49" fillId="2" borderId="50" xfId="0" applyFont="1" applyFill="1" applyBorder="1" applyAlignment="1">
      <alignment vertical="center"/>
    </xf>
    <xf numFmtId="0" fontId="49" fillId="2" borderId="75" xfId="0" applyFont="1" applyFill="1" applyBorder="1" applyAlignment="1">
      <alignment horizontal="center" vertical="center"/>
    </xf>
    <xf numFmtId="175" fontId="51" fillId="2" borderId="39" xfId="0" applyNumberFormat="1" applyFont="1" applyFill="1" applyBorder="1" applyAlignment="1">
      <alignment horizontal="center" vertical="center"/>
    </xf>
    <xf numFmtId="175" fontId="49" fillId="2" borderId="77" xfId="0" applyNumberFormat="1" applyFont="1" applyFill="1" applyBorder="1" applyAlignment="1">
      <alignment horizontal="center" vertical="center"/>
    </xf>
    <xf numFmtId="0" fontId="49" fillId="2" borderId="64" xfId="0" applyFont="1" applyFill="1" applyBorder="1" applyAlignment="1">
      <alignment horizontal="center" vertical="center"/>
    </xf>
    <xf numFmtId="175" fontId="49" fillId="2" borderId="45" xfId="0" applyNumberFormat="1" applyFont="1" applyFill="1" applyBorder="1" applyAlignment="1">
      <alignment horizontal="center" vertical="center"/>
    </xf>
    <xf numFmtId="175" fontId="49" fillId="2" borderId="27" xfId="0" applyNumberFormat="1" applyFont="1" applyFill="1" applyBorder="1" applyAlignment="1">
      <alignment horizontal="center" vertical="center"/>
    </xf>
    <xf numFmtId="0" fontId="49" fillId="2" borderId="33" xfId="0" applyFont="1" applyFill="1" applyBorder="1" applyAlignment="1">
      <alignment horizontal="center" vertical="center"/>
    </xf>
    <xf numFmtId="175" fontId="51" fillId="2" borderId="63" xfId="0" applyNumberFormat="1" applyFont="1" applyFill="1" applyBorder="1" applyAlignment="1">
      <alignment horizontal="center" vertical="center"/>
    </xf>
    <xf numFmtId="175" fontId="51" fillId="2" borderId="30" xfId="0" applyNumberFormat="1" applyFont="1" applyFill="1" applyBorder="1" applyAlignment="1">
      <alignment horizontal="center" vertical="center"/>
    </xf>
    <xf numFmtId="0" fontId="49" fillId="2" borderId="70" xfId="0" applyFont="1" applyFill="1" applyBorder="1" applyAlignment="1">
      <alignment horizontal="center" vertical="center"/>
    </xf>
    <xf numFmtId="0" fontId="49" fillId="2" borderId="11" xfId="0" applyFont="1" applyFill="1" applyBorder="1" applyAlignment="1">
      <alignment horizontal="left" vertical="center"/>
    </xf>
    <xf numFmtId="0" fontId="11" fillId="2" borderId="11" xfId="1" applyFont="1" applyFill="1" applyBorder="1" applyAlignment="1">
      <alignment horizontal="left" vertical="center"/>
    </xf>
    <xf numFmtId="0" fontId="49" fillId="2" borderId="11" xfId="0" applyFont="1" applyFill="1" applyBorder="1" applyAlignment="1">
      <alignment horizontal="center" vertical="center"/>
    </xf>
    <xf numFmtId="0" fontId="6" fillId="2" borderId="1" xfId="0" applyFont="1" applyFill="1" applyBorder="1" applyAlignment="1">
      <alignment vertical="center"/>
    </xf>
    <xf numFmtId="9" fontId="6" fillId="2" borderId="1" xfId="0" applyNumberFormat="1" applyFont="1" applyFill="1" applyBorder="1" applyAlignment="1">
      <alignment vertical="center"/>
    </xf>
    <xf numFmtId="0" fontId="6" fillId="2" borderId="2" xfId="0" applyFont="1" applyFill="1" applyBorder="1" applyAlignment="1">
      <alignment vertical="center"/>
    </xf>
    <xf numFmtId="1" fontId="6" fillId="2" borderId="0" xfId="0" applyNumberFormat="1" applyFont="1" applyFill="1" applyBorder="1" applyAlignment="1">
      <alignment vertical="center"/>
    </xf>
    <xf numFmtId="175" fontId="6" fillId="2" borderId="0" xfId="0" applyNumberFormat="1" applyFont="1" applyFill="1" applyBorder="1" applyAlignment="1">
      <alignment vertical="center"/>
    </xf>
    <xf numFmtId="177" fontId="6" fillId="2" borderId="0" xfId="0" applyNumberFormat="1" applyFont="1" applyFill="1" applyBorder="1" applyAlignment="1">
      <alignment vertical="center"/>
    </xf>
    <xf numFmtId="0" fontId="5" fillId="2" borderId="53" xfId="1" applyFont="1" applyFill="1" applyBorder="1" applyAlignment="1">
      <alignment horizontal="center" vertical="center"/>
    </xf>
    <xf numFmtId="167" fontId="1" fillId="2" borderId="57" xfId="1" applyNumberFormat="1" applyFill="1" applyBorder="1" applyAlignment="1">
      <alignment horizontal="center" vertical="center"/>
    </xf>
    <xf numFmtId="167" fontId="0" fillId="2" borderId="15" xfId="0" applyNumberFormat="1" applyFill="1" applyBorder="1" applyAlignment="1">
      <alignment horizontal="center" vertical="center"/>
    </xf>
    <xf numFmtId="0" fontId="23" fillId="2" borderId="62" xfId="0" applyFont="1" applyFill="1" applyBorder="1" applyAlignment="1">
      <alignment horizontal="center" vertical="center" wrapText="1"/>
    </xf>
    <xf numFmtId="9" fontId="55" fillId="2" borderId="51" xfId="0" applyNumberFormat="1" applyFont="1" applyFill="1" applyBorder="1" applyAlignment="1">
      <alignment horizontal="center" vertical="center" wrapText="1"/>
    </xf>
    <xf numFmtId="167" fontId="0" fillId="2" borderId="59" xfId="0" applyNumberFormat="1" applyFill="1" applyBorder="1" applyAlignment="1">
      <alignment horizontal="center" vertical="center"/>
    </xf>
    <xf numFmtId="0" fontId="23" fillId="2" borderId="61" xfId="0" applyFont="1" applyFill="1" applyBorder="1" applyAlignment="1">
      <alignment horizontal="center" vertical="center" wrapText="1"/>
    </xf>
    <xf numFmtId="10" fontId="55" fillId="2" borderId="26" xfId="0" applyNumberFormat="1" applyFont="1" applyFill="1" applyBorder="1" applyAlignment="1">
      <alignment horizontal="center" vertical="center" wrapText="1"/>
    </xf>
    <xf numFmtId="0" fontId="1" fillId="2" borderId="15" xfId="1" applyFont="1" applyFill="1" applyBorder="1" applyAlignment="1">
      <alignment horizontal="center" vertical="center"/>
    </xf>
    <xf numFmtId="167" fontId="0" fillId="2" borderId="22" xfId="0" applyNumberFormat="1" applyFill="1" applyBorder="1" applyAlignment="1">
      <alignment horizontal="center" vertical="center"/>
    </xf>
    <xf numFmtId="167" fontId="0" fillId="2" borderId="47" xfId="0" applyNumberFormat="1" applyFill="1" applyBorder="1" applyAlignment="1">
      <alignment horizontal="center" vertical="center"/>
    </xf>
    <xf numFmtId="167" fontId="0" fillId="2" borderId="49" xfId="0" applyNumberFormat="1" applyFill="1" applyBorder="1" applyAlignment="1">
      <alignment horizontal="center" vertical="center"/>
    </xf>
    <xf numFmtId="0" fontId="12" fillId="2" borderId="20" xfId="1" applyFont="1" applyFill="1" applyBorder="1" applyAlignment="1">
      <alignment horizontal="center" vertical="center"/>
    </xf>
    <xf numFmtId="0" fontId="12" fillId="2" borderId="21" xfId="1" applyFont="1" applyFill="1" applyBorder="1" applyAlignment="1">
      <alignment horizontal="center" vertical="center"/>
    </xf>
    <xf numFmtId="171" fontId="1" fillId="2" borderId="0" xfId="2" applyNumberFormat="1" applyFont="1" applyFill="1" applyAlignment="1">
      <alignment horizontal="center" vertical="center"/>
    </xf>
    <xf numFmtId="173" fontId="1" fillId="0" borderId="78" xfId="1" applyNumberFormat="1" applyFill="1" applyBorder="1" applyAlignment="1">
      <alignment horizontal="left" vertical="center"/>
    </xf>
    <xf numFmtId="9" fontId="1" fillId="2" borderId="0" xfId="2" applyFont="1" applyFill="1" applyBorder="1" applyAlignment="1">
      <alignment horizontal="center" vertical="center"/>
    </xf>
    <xf numFmtId="9" fontId="1" fillId="2" borderId="50" xfId="2" applyFont="1" applyFill="1" applyBorder="1" applyAlignment="1">
      <alignment horizontal="center" vertical="center"/>
    </xf>
    <xf numFmtId="0" fontId="9" fillId="2" borderId="42" xfId="1" applyFont="1" applyFill="1" applyBorder="1" applyAlignment="1">
      <alignment horizontal="center" vertical="center" wrapText="1"/>
    </xf>
    <xf numFmtId="0" fontId="9" fillId="2" borderId="47" xfId="1" applyFont="1" applyFill="1" applyBorder="1" applyAlignment="1">
      <alignment horizontal="center" vertical="center" wrapText="1"/>
    </xf>
    <xf numFmtId="0" fontId="9" fillId="2" borderId="42" xfId="1" applyFont="1" applyFill="1" applyBorder="1" applyAlignment="1">
      <alignment horizontal="center" vertical="center"/>
    </xf>
    <xf numFmtId="0" fontId="9" fillId="2" borderId="0" xfId="1" applyFont="1" applyFill="1" applyBorder="1" applyAlignment="1">
      <alignment horizontal="center" vertical="center" wrapText="1"/>
    </xf>
    <xf numFmtId="0" fontId="9" fillId="2" borderId="7" xfId="1" applyFont="1" applyFill="1" applyBorder="1" applyAlignment="1">
      <alignment horizontal="center" vertical="center"/>
    </xf>
    <xf numFmtId="0" fontId="9" fillId="2" borderId="47" xfId="1" applyFont="1" applyFill="1" applyBorder="1" applyAlignment="1">
      <alignment horizontal="center" vertical="center"/>
    </xf>
    <xf numFmtId="173" fontId="1" fillId="0" borderId="83" xfId="1" applyNumberFormat="1" applyFill="1" applyBorder="1" applyAlignment="1">
      <alignment horizontal="left" vertical="center"/>
    </xf>
    <xf numFmtId="173" fontId="1" fillId="0" borderId="86" xfId="1" applyNumberFormat="1" applyFill="1" applyBorder="1" applyAlignment="1">
      <alignment horizontal="left" vertical="center"/>
    </xf>
    <xf numFmtId="167" fontId="0" fillId="0" borderId="90" xfId="0" applyNumberFormat="1" applyFill="1" applyBorder="1" applyAlignment="1">
      <alignment horizontal="center" vertical="center"/>
    </xf>
    <xf numFmtId="177" fontId="1" fillId="0" borderId="8" xfId="1" applyNumberFormat="1" applyFill="1" applyBorder="1" applyAlignment="1">
      <alignment horizontal="center" vertical="center"/>
    </xf>
    <xf numFmtId="177" fontId="0" fillId="0" borderId="91" xfId="0" applyNumberFormat="1" applyFill="1" applyBorder="1" applyAlignment="1">
      <alignment horizontal="center" vertical="center"/>
    </xf>
    <xf numFmtId="173" fontId="1" fillId="2" borderId="85" xfId="1" applyNumberFormat="1" applyFill="1" applyBorder="1" applyAlignment="1">
      <alignment horizontal="left" vertical="center"/>
    </xf>
    <xf numFmtId="177" fontId="1" fillId="0" borderId="86" xfId="1" applyNumberFormat="1" applyFill="1" applyBorder="1" applyAlignment="1">
      <alignment horizontal="center" vertical="center"/>
    </xf>
    <xf numFmtId="173" fontId="1" fillId="0" borderId="92" xfId="1" applyNumberFormat="1" applyFill="1" applyBorder="1" applyAlignment="1">
      <alignment horizontal="left" vertical="center"/>
    </xf>
    <xf numFmtId="173" fontId="1" fillId="0" borderId="85" xfId="1" applyNumberFormat="1" applyFill="1" applyBorder="1" applyAlignment="1">
      <alignment horizontal="left" vertical="center"/>
    </xf>
    <xf numFmtId="0" fontId="1" fillId="3" borderId="1" xfId="1" applyFill="1" applyBorder="1" applyAlignment="1">
      <alignment vertical="center"/>
    </xf>
    <xf numFmtId="0" fontId="1" fillId="3" borderId="1" xfId="1" applyFill="1" applyBorder="1" applyAlignment="1">
      <alignment horizontal="left" vertical="center"/>
    </xf>
    <xf numFmtId="0" fontId="1" fillId="3" borderId="0" xfId="1" applyFill="1" applyBorder="1" applyAlignment="1">
      <alignment vertical="center"/>
    </xf>
    <xf numFmtId="0" fontId="1" fillId="3" borderId="0" xfId="1" applyFill="1" applyBorder="1" applyAlignment="1">
      <alignment horizontal="left" vertical="center"/>
    </xf>
    <xf numFmtId="0" fontId="1" fillId="3" borderId="2" xfId="1" applyFill="1" applyBorder="1" applyAlignment="1">
      <alignment horizontal="left" vertical="center"/>
    </xf>
    <xf numFmtId="0" fontId="1" fillId="2" borderId="0" xfId="0" applyFont="1" applyFill="1" applyBorder="1"/>
    <xf numFmtId="0" fontId="1" fillId="3" borderId="11" xfId="1" applyFill="1" applyBorder="1" applyAlignment="1">
      <alignment horizontal="center" vertical="center"/>
    </xf>
    <xf numFmtId="0" fontId="1" fillId="3" borderId="11" xfId="1" applyFill="1" applyBorder="1" applyAlignment="1">
      <alignment vertical="center"/>
    </xf>
    <xf numFmtId="165" fontId="1" fillId="3" borderId="11" xfId="1" applyNumberFormat="1" applyFill="1" applyBorder="1" applyAlignment="1">
      <alignment horizontal="center" vertical="center"/>
    </xf>
    <xf numFmtId="166" fontId="1" fillId="3" borderId="11" xfId="1" applyNumberFormat="1" applyFont="1" applyFill="1" applyBorder="1" applyAlignment="1">
      <alignment horizontal="center" vertical="center"/>
    </xf>
    <xf numFmtId="0" fontId="1" fillId="2" borderId="11" xfId="1" applyFill="1" applyBorder="1" applyAlignment="1">
      <alignment vertical="center"/>
    </xf>
    <xf numFmtId="9" fontId="1" fillId="2" borderId="93" xfId="2" applyFont="1" applyFill="1" applyBorder="1" applyAlignment="1">
      <alignment horizontal="center" vertical="center"/>
    </xf>
    <xf numFmtId="0" fontId="9" fillId="2" borderId="8" xfId="1" applyFont="1" applyFill="1" applyBorder="1" applyAlignment="1">
      <alignment horizontal="center" vertical="center"/>
    </xf>
    <xf numFmtId="9" fontId="1" fillId="2" borderId="94" xfId="2" applyFont="1" applyFill="1" applyBorder="1" applyAlignment="1">
      <alignment horizontal="center" vertical="center"/>
    </xf>
    <xf numFmtId="0" fontId="1" fillId="2" borderId="94" xfId="1" applyFill="1" applyBorder="1" applyAlignment="1">
      <alignment horizontal="center" vertical="center"/>
    </xf>
    <xf numFmtId="0" fontId="1" fillId="2" borderId="94" xfId="1" applyFill="1" applyBorder="1" applyAlignment="1">
      <alignment horizontal="left" vertical="center"/>
    </xf>
    <xf numFmtId="0" fontId="1" fillId="2" borderId="95" xfId="1" applyFill="1" applyBorder="1" applyAlignment="1">
      <alignment horizontal="center" vertical="center"/>
    </xf>
    <xf numFmtId="173" fontId="1" fillId="2" borderId="94" xfId="1" applyNumberFormat="1" applyFill="1" applyBorder="1" applyAlignment="1">
      <alignment horizontal="left" vertical="center"/>
    </xf>
    <xf numFmtId="2" fontId="1" fillId="2" borderId="94" xfId="1" applyNumberFormat="1" applyFill="1" applyBorder="1" applyAlignment="1">
      <alignment horizontal="center" vertical="center"/>
    </xf>
    <xf numFmtId="177" fontId="1" fillId="0" borderId="96" xfId="1" applyNumberFormat="1" applyFill="1" applyBorder="1" applyAlignment="1">
      <alignment horizontal="center" vertical="center"/>
    </xf>
    <xf numFmtId="175" fontId="6" fillId="0" borderId="0" xfId="0" applyNumberFormat="1" applyFont="1" applyAlignment="1">
      <alignment vertical="center"/>
    </xf>
    <xf numFmtId="0" fontId="50" fillId="0" borderId="0" xfId="0" applyFont="1" applyBorder="1" applyAlignment="1">
      <alignment horizontal="center" vertical="center"/>
    </xf>
    <xf numFmtId="0" fontId="50" fillId="0" borderId="61" xfId="0" applyNumberFormat="1" applyFont="1" applyBorder="1" applyAlignment="1">
      <alignment horizontal="center" vertical="center"/>
    </xf>
    <xf numFmtId="0" fontId="1" fillId="2" borderId="0" xfId="1" applyFill="1" applyAlignment="1">
      <alignment horizontal="center" vertical="center"/>
    </xf>
    <xf numFmtId="0" fontId="1" fillId="2" borderId="0" xfId="1" applyFill="1" applyBorder="1" applyAlignment="1">
      <alignment horizontal="center" vertical="center"/>
    </xf>
    <xf numFmtId="0" fontId="1" fillId="2" borderId="0" xfId="1" applyFill="1" applyAlignment="1">
      <alignment horizontal="left" vertical="center"/>
    </xf>
    <xf numFmtId="0" fontId="1" fillId="2" borderId="2" xfId="1" applyFill="1" applyBorder="1" applyAlignment="1">
      <alignment horizontal="left" vertical="center"/>
    </xf>
    <xf numFmtId="0" fontId="1" fillId="2" borderId="1" xfId="1" applyFill="1" applyBorder="1" applyAlignment="1">
      <alignment horizontal="left" vertical="center"/>
    </xf>
    <xf numFmtId="0" fontId="20" fillId="2" borderId="0" xfId="1" applyFont="1" applyFill="1" applyBorder="1" applyAlignment="1">
      <alignment horizontal="right" vertical="center"/>
    </xf>
    <xf numFmtId="0" fontId="1" fillId="2" borderId="0" xfId="0" applyFont="1" applyFill="1" applyBorder="1" applyAlignment="1">
      <alignment horizontal="right" vertical="center"/>
    </xf>
    <xf numFmtId="0" fontId="1" fillId="2" borderId="0" xfId="0" applyFont="1" applyFill="1" applyBorder="1" applyAlignment="1">
      <alignment horizontal="left" vertical="center"/>
    </xf>
    <xf numFmtId="0" fontId="1" fillId="2" borderId="0" xfId="0" applyFont="1" applyFill="1" applyBorder="1" applyAlignment="1">
      <alignment horizontal="center" vertical="center"/>
    </xf>
    <xf numFmtId="173" fontId="1" fillId="2" borderId="73" xfId="0" applyNumberFormat="1" applyFont="1" applyFill="1" applyBorder="1" applyAlignment="1">
      <alignment vertical="center"/>
    </xf>
    <xf numFmtId="173" fontId="9" fillId="2" borderId="0" xfId="1" applyNumberFormat="1" applyFont="1" applyFill="1" applyBorder="1" applyAlignment="1">
      <alignment vertical="center"/>
    </xf>
    <xf numFmtId="0" fontId="10" fillId="2" borderId="41" xfId="1" applyFont="1" applyFill="1" applyBorder="1" applyAlignment="1">
      <alignment vertical="center"/>
    </xf>
    <xf numFmtId="173" fontId="1" fillId="0" borderId="23" xfId="0" applyNumberFormat="1" applyFont="1" applyFill="1" applyBorder="1" applyAlignment="1">
      <alignment vertical="center"/>
    </xf>
    <xf numFmtId="0" fontId="8" fillId="2" borderId="2" xfId="1" applyFont="1" applyFill="1" applyBorder="1" applyAlignment="1">
      <alignment vertical="center"/>
    </xf>
    <xf numFmtId="0" fontId="11" fillId="2" borderId="0" xfId="1" applyFont="1" applyFill="1" applyBorder="1" applyAlignment="1">
      <alignment horizontal="left" vertical="center"/>
    </xf>
    <xf numFmtId="0" fontId="8" fillId="2" borderId="2" xfId="1" applyFont="1" applyFill="1" applyBorder="1" applyAlignment="1">
      <alignment horizontal="left" vertical="center"/>
    </xf>
    <xf numFmtId="0" fontId="20" fillId="2" borderId="0" xfId="1" applyFont="1" applyFill="1" applyBorder="1" applyAlignment="1">
      <alignment horizontal="right" vertical="center"/>
    </xf>
    <xf numFmtId="0" fontId="1" fillId="2" borderId="0" xfId="0" applyFont="1" applyFill="1" applyBorder="1" applyAlignment="1">
      <alignment horizontal="right" vertical="center"/>
    </xf>
    <xf numFmtId="0" fontId="1" fillId="2" borderId="0" xfId="0" applyFont="1" applyFill="1" applyBorder="1" applyAlignment="1">
      <alignment horizontal="left" vertical="center"/>
    </xf>
    <xf numFmtId="0" fontId="1" fillId="2" borderId="0" xfId="0" applyFont="1" applyFill="1" applyBorder="1" applyAlignment="1">
      <alignment horizontal="center" vertical="center"/>
    </xf>
    <xf numFmtId="175" fontId="6" fillId="0" borderId="22" xfId="0" applyNumberFormat="1" applyFont="1" applyFill="1" applyBorder="1" applyAlignment="1">
      <alignment horizontal="center" vertical="center"/>
    </xf>
    <xf numFmtId="175" fontId="6" fillId="0" borderId="13" xfId="0" applyNumberFormat="1" applyFont="1" applyFill="1" applyBorder="1" applyAlignment="1">
      <alignment horizontal="center" vertical="center"/>
    </xf>
    <xf numFmtId="175" fontId="6" fillId="0" borderId="23" xfId="0" applyNumberFormat="1" applyFont="1" applyFill="1" applyBorder="1" applyAlignment="1">
      <alignment horizontal="center" vertical="center"/>
    </xf>
    <xf numFmtId="175" fontId="6" fillId="0" borderId="24" xfId="0" applyNumberFormat="1" applyFont="1" applyFill="1" applyBorder="1" applyAlignment="1">
      <alignment horizontal="center" vertical="center"/>
    </xf>
    <xf numFmtId="175" fontId="6" fillId="0" borderId="14" xfId="0" applyNumberFormat="1" applyFont="1" applyFill="1" applyBorder="1" applyAlignment="1">
      <alignment horizontal="center" vertical="center"/>
    </xf>
    <xf numFmtId="175" fontId="6" fillId="0" borderId="20" xfId="0" applyNumberFormat="1" applyFont="1" applyFill="1" applyBorder="1" applyAlignment="1">
      <alignment horizontal="center" vertical="center"/>
    </xf>
    <xf numFmtId="175" fontId="6" fillId="0" borderId="12" xfId="0" applyNumberFormat="1" applyFont="1" applyFill="1" applyBorder="1" applyAlignment="1">
      <alignment horizontal="center" vertical="center"/>
    </xf>
    <xf numFmtId="175" fontId="51" fillId="0" borderId="22" xfId="0" applyNumberFormat="1" applyFont="1" applyFill="1" applyBorder="1" applyAlignment="1">
      <alignment horizontal="center" vertical="center"/>
    </xf>
    <xf numFmtId="0" fontId="50" fillId="0" borderId="61" xfId="0" applyNumberFormat="1" applyFont="1" applyFill="1" applyBorder="1" applyAlignment="1">
      <alignment horizontal="center" vertical="center"/>
    </xf>
    <xf numFmtId="15" fontId="1" fillId="3" borderId="11" xfId="1" applyNumberFormat="1" applyFill="1" applyBorder="1" applyAlignment="1">
      <alignment horizontal="center" vertical="center"/>
    </xf>
    <xf numFmtId="3" fontId="1" fillId="2" borderId="20" xfId="0" applyNumberFormat="1" applyFont="1" applyFill="1" applyBorder="1" applyAlignment="1">
      <alignment horizontal="center" vertical="center"/>
    </xf>
    <xf numFmtId="171" fontId="1" fillId="0" borderId="78" xfId="2" applyNumberFormat="1" applyFont="1" applyFill="1" applyBorder="1" applyAlignment="1">
      <alignment horizontal="center" vertical="center"/>
    </xf>
    <xf numFmtId="171" fontId="1" fillId="0" borderId="84" xfId="2" applyNumberFormat="1" applyFont="1" applyFill="1" applyBorder="1" applyAlignment="1">
      <alignment horizontal="center" vertical="center"/>
    </xf>
    <xf numFmtId="173" fontId="1" fillId="0" borderId="84" xfId="1" applyNumberFormat="1" applyFill="1" applyBorder="1" applyAlignment="1">
      <alignment horizontal="left" vertical="center"/>
    </xf>
    <xf numFmtId="0" fontId="12" fillId="2" borderId="17" xfId="1" applyFont="1" applyFill="1" applyBorder="1" applyAlignment="1">
      <alignment horizontal="center" vertical="center"/>
    </xf>
    <xf numFmtId="0" fontId="12" fillId="2" borderId="24" xfId="1" applyFont="1" applyFill="1" applyBorder="1" applyAlignment="1">
      <alignment horizontal="center" vertical="center"/>
    </xf>
    <xf numFmtId="0" fontId="1" fillId="2" borderId="1" xfId="1" applyFill="1" applyBorder="1" applyAlignment="1">
      <alignment horizontal="left" vertical="center"/>
    </xf>
    <xf numFmtId="0" fontId="1" fillId="2" borderId="2" xfId="1" applyFill="1" applyBorder="1" applyAlignment="1">
      <alignment horizontal="left" vertical="center"/>
    </xf>
    <xf numFmtId="175" fontId="6" fillId="8" borderId="43" xfId="0" applyNumberFormat="1" applyFont="1" applyFill="1" applyBorder="1" applyAlignment="1">
      <alignment horizontal="center" vertical="center"/>
    </xf>
    <xf numFmtId="175" fontId="6" fillId="7" borderId="27" xfId="0" applyNumberFormat="1" applyFont="1" applyFill="1" applyBorder="1" applyAlignment="1">
      <alignment horizontal="center" vertical="center"/>
    </xf>
    <xf numFmtId="175" fontId="6" fillId="0" borderId="8" xfId="0" applyNumberFormat="1" applyFont="1" applyFill="1" applyBorder="1" applyAlignment="1">
      <alignment horizontal="center" vertical="center"/>
    </xf>
    <xf numFmtId="175" fontId="6" fillId="0" borderId="42" xfId="0" applyNumberFormat="1" applyFont="1" applyFill="1" applyBorder="1" applyAlignment="1">
      <alignment horizontal="center" vertical="center"/>
    </xf>
    <xf numFmtId="175" fontId="6" fillId="0" borderId="5" xfId="0" applyNumberFormat="1" applyFont="1" applyFill="1" applyBorder="1" applyAlignment="1">
      <alignment horizontal="center" vertical="center"/>
    </xf>
    <xf numFmtId="175" fontId="6" fillId="0" borderId="25" xfId="0" applyNumberFormat="1" applyFont="1" applyFill="1" applyBorder="1" applyAlignment="1">
      <alignment horizontal="center" vertical="center"/>
    </xf>
    <xf numFmtId="175" fontId="6" fillId="0" borderId="28" xfId="0" applyNumberFormat="1" applyFont="1" applyFill="1" applyBorder="1" applyAlignment="1">
      <alignment horizontal="center" vertical="center"/>
    </xf>
    <xf numFmtId="2" fontId="50" fillId="0" borderId="31" xfId="0" applyNumberFormat="1" applyFont="1" applyBorder="1" applyAlignment="1">
      <alignment horizontal="center" vertical="center"/>
    </xf>
    <xf numFmtId="2" fontId="50" fillId="0" borderId="30" xfId="0" applyNumberFormat="1" applyFont="1" applyBorder="1" applyAlignment="1">
      <alignment horizontal="center" vertical="center"/>
    </xf>
    <xf numFmtId="2" fontId="50" fillId="0" borderId="29" xfId="0" applyNumberFormat="1" applyFont="1" applyBorder="1" applyAlignment="1">
      <alignment horizontal="center" vertical="center"/>
    </xf>
    <xf numFmtId="2" fontId="50" fillId="0" borderId="71" xfId="0" applyNumberFormat="1" applyFont="1" applyBorder="1" applyAlignment="1">
      <alignment horizontal="center" vertical="center"/>
    </xf>
    <xf numFmtId="2" fontId="50" fillId="0" borderId="70" xfId="0" applyNumberFormat="1" applyFont="1" applyBorder="1" applyAlignment="1">
      <alignment horizontal="center" vertical="center"/>
    </xf>
    <xf numFmtId="2" fontId="50" fillId="0" borderId="29" xfId="0" applyNumberFormat="1" applyFont="1" applyFill="1" applyBorder="1" applyAlignment="1">
      <alignment horizontal="center" vertical="center"/>
    </xf>
    <xf numFmtId="2" fontId="50" fillId="0" borderId="31" xfId="0" applyNumberFormat="1" applyFont="1" applyFill="1" applyBorder="1" applyAlignment="1">
      <alignment horizontal="center" vertical="center"/>
    </xf>
    <xf numFmtId="2" fontId="50" fillId="0" borderId="30" xfId="0" applyNumberFormat="1" applyFont="1" applyFill="1" applyBorder="1" applyAlignment="1">
      <alignment horizontal="center" vertical="center"/>
    </xf>
    <xf numFmtId="10" fontId="0" fillId="2" borderId="0" xfId="0" applyNumberFormat="1" applyFill="1"/>
    <xf numFmtId="0" fontId="0" fillId="2" borderId="0" xfId="0" applyFill="1" applyBorder="1" applyAlignment="1">
      <alignment horizontal="right"/>
    </xf>
    <xf numFmtId="167" fontId="0" fillId="2" borderId="0" xfId="0" applyNumberFormat="1" applyFill="1" applyBorder="1"/>
    <xf numFmtId="0" fontId="1" fillId="0" borderId="0" xfId="0" applyFont="1" applyFill="1"/>
    <xf numFmtId="0" fontId="16" fillId="2" borderId="0" xfId="0" applyFont="1" applyFill="1" applyBorder="1" applyAlignment="1">
      <alignment horizontal="center" vertical="center"/>
    </xf>
    <xf numFmtId="173" fontId="1" fillId="7" borderId="7" xfId="0" applyNumberFormat="1" applyFont="1" applyFill="1" applyBorder="1" applyAlignment="1">
      <alignment vertical="center"/>
    </xf>
    <xf numFmtId="0" fontId="1" fillId="0" borderId="0" xfId="1" applyFont="1" applyFill="1" applyAlignment="1">
      <alignment vertical="center"/>
    </xf>
    <xf numFmtId="171" fontId="1" fillId="2" borderId="50" xfId="2" applyNumberFormat="1" applyFont="1" applyFill="1" applyBorder="1" applyAlignment="1">
      <alignment horizontal="center" vertical="center"/>
    </xf>
    <xf numFmtId="171" fontId="1" fillId="2" borderId="0" xfId="2" applyNumberFormat="1" applyFont="1" applyFill="1" applyBorder="1" applyAlignment="1">
      <alignment horizontal="center" vertical="center"/>
    </xf>
    <xf numFmtId="171" fontId="1" fillId="2" borderId="41" xfId="2" applyNumberFormat="1" applyFont="1" applyFill="1" applyBorder="1" applyAlignment="1">
      <alignment horizontal="center" vertical="center"/>
    </xf>
    <xf numFmtId="171" fontId="1" fillId="2" borderId="84" xfId="2" applyNumberFormat="1" applyFont="1" applyFill="1" applyBorder="1" applyAlignment="1">
      <alignment horizontal="center" vertical="center"/>
    </xf>
    <xf numFmtId="171" fontId="1" fillId="2" borderId="78" xfId="2" applyNumberFormat="1" applyFont="1" applyFill="1" applyBorder="1" applyAlignment="1">
      <alignment horizontal="center" vertical="center"/>
    </xf>
    <xf numFmtId="171" fontId="1" fillId="2" borderId="94" xfId="2" applyNumberFormat="1" applyFont="1" applyFill="1" applyBorder="1" applyAlignment="1">
      <alignment horizontal="center" vertical="center"/>
    </xf>
    <xf numFmtId="0" fontId="12" fillId="0" borderId="0" xfId="0" applyFont="1" applyAlignment="1">
      <alignment horizontal="left" vertical="center"/>
    </xf>
    <xf numFmtId="0" fontId="1" fillId="2" borderId="0" xfId="1" applyFont="1" applyFill="1" applyBorder="1" applyAlignment="1">
      <alignment horizontal="left" vertical="justify" wrapText="1"/>
    </xf>
    <xf numFmtId="0" fontId="1" fillId="2" borderId="0" xfId="1" applyFill="1" applyBorder="1" applyAlignment="1">
      <alignment horizontal="center" vertical="center"/>
    </xf>
    <xf numFmtId="0" fontId="1" fillId="2" borderId="0" xfId="1" applyFont="1" applyFill="1" applyBorder="1" applyAlignment="1">
      <alignment horizontal="center" vertical="center"/>
    </xf>
    <xf numFmtId="0" fontId="12" fillId="2" borderId="0" xfId="0" applyFont="1" applyFill="1" applyBorder="1" applyAlignment="1">
      <alignment horizontal="center" vertical="center"/>
    </xf>
    <xf numFmtId="0" fontId="10" fillId="2" borderId="0" xfId="1" applyFont="1" applyFill="1" applyBorder="1" applyAlignment="1">
      <alignment horizontal="center" vertical="center"/>
    </xf>
    <xf numFmtId="0" fontId="1" fillId="2" borderId="0" xfId="1" applyFill="1" applyAlignment="1">
      <alignment horizontal="center" vertical="center"/>
    </xf>
    <xf numFmtId="2" fontId="1" fillId="2" borderId="0" xfId="1" applyNumberFormat="1" applyFill="1" applyBorder="1" applyAlignment="1">
      <alignment horizontal="center" vertical="center"/>
    </xf>
    <xf numFmtId="0" fontId="1" fillId="2" borderId="0" xfId="1" applyFont="1" applyFill="1" applyAlignment="1">
      <alignment horizontal="center" vertical="center"/>
    </xf>
    <xf numFmtId="9" fontId="1" fillId="2" borderId="50" xfId="2"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9" fontId="1" fillId="2" borderId="0" xfId="2" applyFont="1" applyFill="1" applyBorder="1" applyAlignment="1">
      <alignment horizontal="center" vertical="center"/>
    </xf>
    <xf numFmtId="0" fontId="9" fillId="2" borderId="42" xfId="1" applyFont="1" applyFill="1" applyBorder="1" applyAlignment="1">
      <alignment horizontal="center" vertical="center" wrapText="1"/>
    </xf>
    <xf numFmtId="0" fontId="9" fillId="2" borderId="0" xfId="1" applyFont="1" applyFill="1" applyBorder="1" applyAlignment="1">
      <alignment horizontal="center" vertical="center"/>
    </xf>
    <xf numFmtId="0" fontId="9" fillId="2" borderId="0" xfId="1" applyFont="1" applyFill="1" applyBorder="1" applyAlignment="1">
      <alignment horizontal="center" vertical="center" wrapText="1"/>
    </xf>
    <xf numFmtId="0" fontId="1" fillId="2" borderId="51" xfId="0" applyFont="1" applyFill="1" applyBorder="1" applyAlignment="1">
      <alignment horizontal="center" vertical="center"/>
    </xf>
    <xf numFmtId="0" fontId="1" fillId="2" borderId="47"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41" xfId="0" applyFont="1" applyFill="1" applyBorder="1" applyAlignment="1">
      <alignment horizontal="center" vertical="center"/>
    </xf>
    <xf numFmtId="0" fontId="22" fillId="0" borderId="11" xfId="0" applyFont="1" applyBorder="1" applyAlignment="1">
      <alignment horizontal="center" vertical="center"/>
    </xf>
    <xf numFmtId="0" fontId="1" fillId="2" borderId="97" xfId="1" applyFill="1" applyBorder="1" applyAlignment="1">
      <alignment horizontal="left" vertical="center"/>
    </xf>
    <xf numFmtId="0" fontId="1" fillId="2" borderId="97" xfId="1" applyFill="1" applyBorder="1" applyAlignment="1">
      <alignment horizontal="center" vertical="center"/>
    </xf>
    <xf numFmtId="0" fontId="1" fillId="2" borderId="98" xfId="1" applyFill="1" applyBorder="1" applyAlignment="1">
      <alignment horizontal="center" vertical="center"/>
    </xf>
    <xf numFmtId="167" fontId="1" fillId="2" borderId="94" xfId="1" applyNumberFormat="1" applyFill="1" applyBorder="1" applyAlignment="1">
      <alignment horizontal="center" vertical="center"/>
    </xf>
    <xf numFmtId="0" fontId="1" fillId="2" borderId="99" xfId="1" applyFill="1" applyBorder="1" applyAlignment="1">
      <alignment horizontal="left" vertical="center"/>
    </xf>
    <xf numFmtId="0" fontId="1" fillId="2" borderId="99" xfId="1" applyFill="1" applyBorder="1" applyAlignment="1">
      <alignment horizontal="center" vertical="center"/>
    </xf>
    <xf numFmtId="0" fontId="1" fillId="2" borderId="100" xfId="1" applyFill="1" applyBorder="1" applyAlignment="1">
      <alignment horizontal="center" vertical="center"/>
    </xf>
    <xf numFmtId="167" fontId="1" fillId="2" borderId="78" xfId="1" applyNumberFormat="1" applyFill="1" applyBorder="1" applyAlignment="1">
      <alignment horizontal="center" vertical="center"/>
    </xf>
    <xf numFmtId="0" fontId="1" fillId="2" borderId="50" xfId="1" applyFill="1" applyBorder="1" applyAlignment="1">
      <alignment horizontal="left" vertical="center"/>
    </xf>
    <xf numFmtId="0" fontId="1" fillId="2" borderId="46" xfId="1" applyFill="1" applyBorder="1" applyAlignment="1">
      <alignment horizontal="center" vertical="center"/>
    </xf>
    <xf numFmtId="167" fontId="1" fillId="2" borderId="84" xfId="1" applyNumberFormat="1" applyFill="1" applyBorder="1" applyAlignment="1">
      <alignment horizontal="center" vertical="center"/>
    </xf>
    <xf numFmtId="9" fontId="1" fillId="2" borderId="41" xfId="2" applyFont="1" applyFill="1" applyBorder="1" applyAlignment="1">
      <alignment horizontal="center" vertical="center"/>
    </xf>
    <xf numFmtId="2" fontId="1" fillId="2" borderId="50" xfId="1" applyNumberFormat="1" applyFill="1" applyBorder="1" applyAlignment="1">
      <alignment horizontal="center" vertical="center"/>
    </xf>
    <xf numFmtId="167" fontId="1" fillId="2" borderId="50" xfId="1" applyNumberFormat="1" applyFill="1" applyBorder="1" applyAlignment="1">
      <alignment horizontal="center" vertical="center"/>
    </xf>
    <xf numFmtId="0" fontId="1" fillId="2" borderId="8" xfId="1" applyFill="1" applyBorder="1" applyAlignment="1">
      <alignment horizontal="center" vertical="center"/>
    </xf>
    <xf numFmtId="173" fontId="1" fillId="2" borderId="33" xfId="1" applyNumberFormat="1" applyFill="1" applyBorder="1" applyAlignment="1">
      <alignment horizontal="left" vertical="center"/>
    </xf>
    <xf numFmtId="0" fontId="1" fillId="2" borderId="1" xfId="1" applyFill="1" applyBorder="1" applyAlignment="1">
      <alignment horizontal="center" vertical="center"/>
    </xf>
    <xf numFmtId="0" fontId="6" fillId="2" borderId="0" xfId="0" applyFont="1" applyFill="1"/>
    <xf numFmtId="0" fontId="57" fillId="2" borderId="0" xfId="0" applyFont="1" applyFill="1"/>
    <xf numFmtId="0" fontId="58" fillId="2" borderId="0" xfId="0" applyFont="1" applyFill="1"/>
    <xf numFmtId="0" fontId="59" fillId="2" borderId="0" xfId="0" applyFont="1" applyFill="1"/>
    <xf numFmtId="0" fontId="60" fillId="2" borderId="0" xfId="0" applyFont="1" applyFill="1"/>
    <xf numFmtId="0" fontId="61" fillId="2" borderId="0" xfId="1" applyFont="1" applyFill="1" applyBorder="1" applyAlignment="1">
      <alignment vertical="center"/>
    </xf>
    <xf numFmtId="0" fontId="1" fillId="2" borderId="2" xfId="1" applyFont="1" applyFill="1" applyBorder="1" applyAlignment="1">
      <alignment vertical="center"/>
    </xf>
    <xf numFmtId="0" fontId="0" fillId="2" borderId="2" xfId="0" applyFill="1" applyBorder="1"/>
    <xf numFmtId="0" fontId="12" fillId="2" borderId="0" xfId="0" applyFont="1" applyFill="1" applyAlignment="1">
      <alignment horizontal="left" vertical="center"/>
    </xf>
    <xf numFmtId="0" fontId="12" fillId="2" borderId="2" xfId="0" applyFont="1" applyFill="1" applyBorder="1" applyAlignment="1">
      <alignment horizontal="left" vertical="center"/>
    </xf>
    <xf numFmtId="0" fontId="60" fillId="2" borderId="0" xfId="1" applyFont="1" applyFill="1" applyAlignment="1">
      <alignment vertical="center"/>
    </xf>
    <xf numFmtId="49" fontId="1" fillId="2" borderId="0" xfId="1" applyNumberFormat="1" applyFont="1" applyFill="1" applyAlignment="1">
      <alignment horizontal="center" vertical="center"/>
    </xf>
    <xf numFmtId="10" fontId="1" fillId="2" borderId="0" xfId="1" applyNumberFormat="1" applyFont="1" applyFill="1" applyBorder="1" applyAlignment="1">
      <alignment horizontal="center" vertical="center"/>
    </xf>
    <xf numFmtId="0" fontId="1" fillId="0" borderId="0" xfId="1" applyFont="1" applyFill="1" applyBorder="1" applyAlignment="1">
      <alignment horizontal="center" vertical="center"/>
    </xf>
    <xf numFmtId="49" fontId="1" fillId="0" borderId="0" xfId="1" applyNumberFormat="1" applyFont="1" applyAlignment="1">
      <alignment horizontal="center" vertical="center"/>
    </xf>
    <xf numFmtId="0" fontId="1" fillId="2" borderId="2" xfId="1" applyFont="1" applyFill="1" applyBorder="1" applyAlignment="1">
      <alignment horizontal="center" vertical="center"/>
    </xf>
    <xf numFmtId="0" fontId="1" fillId="2" borderId="1" xfId="1" applyFont="1" applyFill="1" applyBorder="1" applyAlignment="1">
      <alignment horizontal="center" vertical="center"/>
    </xf>
    <xf numFmtId="0" fontId="1" fillId="0" borderId="0" xfId="1" applyFont="1" applyFill="1" applyAlignment="1">
      <alignment horizontal="left" vertical="center"/>
    </xf>
    <xf numFmtId="0" fontId="1" fillId="0" borderId="0" xfId="1" applyFont="1" applyAlignment="1">
      <alignment horizontal="center" vertical="center"/>
    </xf>
    <xf numFmtId="9" fontId="1" fillId="2" borderId="0" xfId="1" applyNumberFormat="1" applyFont="1" applyFill="1" applyAlignment="1">
      <alignment horizontal="center" vertical="center"/>
    </xf>
    <xf numFmtId="1" fontId="1" fillId="3" borderId="11" xfId="1" applyNumberFormat="1" applyFont="1" applyFill="1" applyBorder="1" applyAlignment="1">
      <alignment horizontal="center" vertical="center"/>
    </xf>
    <xf numFmtId="0" fontId="6" fillId="2" borderId="0" xfId="0" applyFont="1" applyFill="1" applyBorder="1" applyAlignment="1">
      <alignment horizontal="left"/>
    </xf>
    <xf numFmtId="0" fontId="19" fillId="0" borderId="0" xfId="1" applyFont="1" applyAlignment="1">
      <alignment vertical="center"/>
    </xf>
    <xf numFmtId="0" fontId="12" fillId="2" borderId="0" xfId="0" applyFont="1" applyFill="1"/>
    <xf numFmtId="173" fontId="5" fillId="2" borderId="58" xfId="0" applyNumberFormat="1" applyFont="1" applyFill="1" applyBorder="1" applyAlignment="1">
      <alignment vertical="center"/>
    </xf>
    <xf numFmtId="173" fontId="5" fillId="2" borderId="54" xfId="0" applyNumberFormat="1" applyFont="1" applyFill="1" applyBorder="1" applyAlignment="1">
      <alignment vertical="center"/>
    </xf>
    <xf numFmtId="173" fontId="1" fillId="2" borderId="2" xfId="0" applyNumberFormat="1" applyFont="1" applyFill="1" applyBorder="1" applyAlignment="1">
      <alignment vertical="center"/>
    </xf>
    <xf numFmtId="174" fontId="1" fillId="2" borderId="47" xfId="5" applyNumberFormat="1" applyFont="1" applyFill="1" applyBorder="1" applyAlignment="1">
      <alignment horizontal="center" vertical="center"/>
    </xf>
    <xf numFmtId="173" fontId="1" fillId="2" borderId="75" xfId="0" applyNumberFormat="1" applyFont="1" applyFill="1" applyBorder="1" applyAlignment="1">
      <alignment vertical="center"/>
    </xf>
    <xf numFmtId="173" fontId="1" fillId="2" borderId="2" xfId="1" applyNumberFormat="1" applyFill="1" applyBorder="1" applyAlignment="1">
      <alignment vertical="center"/>
    </xf>
    <xf numFmtId="0" fontId="59" fillId="2" borderId="0" xfId="1" applyFont="1" applyFill="1" applyBorder="1"/>
    <xf numFmtId="0" fontId="59" fillId="2" borderId="0" xfId="1" applyFont="1" applyFill="1" applyAlignment="1">
      <alignment horizontal="left" vertical="center"/>
    </xf>
    <xf numFmtId="173" fontId="1" fillId="0" borderId="42" xfId="0" applyNumberFormat="1" applyFont="1" applyFill="1" applyBorder="1" applyAlignment="1">
      <alignment vertical="center"/>
    </xf>
    <xf numFmtId="0" fontId="5" fillId="3" borderId="11" xfId="0" applyFont="1" applyFill="1" applyBorder="1" applyAlignment="1">
      <alignment horizontal="center" vertical="center"/>
    </xf>
    <xf numFmtId="0" fontId="1" fillId="3" borderId="11" xfId="0" applyFont="1" applyFill="1" applyBorder="1" applyAlignment="1">
      <alignment horizontal="center" vertical="center"/>
    </xf>
    <xf numFmtId="0" fontId="10" fillId="2" borderId="1" xfId="1" applyFont="1" applyFill="1" applyBorder="1" applyAlignment="1">
      <alignment vertical="center"/>
    </xf>
    <xf numFmtId="0" fontId="8" fillId="2" borderId="44" xfId="1" applyFont="1" applyFill="1" applyBorder="1" applyAlignment="1">
      <alignment vertical="center"/>
    </xf>
    <xf numFmtId="0" fontId="63" fillId="2" borderId="61" xfId="0" applyFont="1" applyFill="1" applyBorder="1" applyAlignment="1">
      <alignment horizontal="center" vertical="center" wrapText="1"/>
    </xf>
    <xf numFmtId="0" fontId="63" fillId="2" borderId="62" xfId="0" applyFont="1" applyFill="1" applyBorder="1" applyAlignment="1">
      <alignment horizontal="center" vertical="center" wrapText="1"/>
    </xf>
    <xf numFmtId="10" fontId="64" fillId="2" borderId="26" xfId="0" applyNumberFormat="1" applyFont="1" applyFill="1" applyBorder="1" applyAlignment="1">
      <alignment horizontal="center" vertical="center" wrapText="1"/>
    </xf>
    <xf numFmtId="9" fontId="64" fillId="2" borderId="51" xfId="0" applyNumberFormat="1" applyFont="1" applyFill="1" applyBorder="1" applyAlignment="1">
      <alignment horizontal="center" vertical="center" wrapText="1"/>
    </xf>
    <xf numFmtId="0" fontId="64" fillId="2" borderId="26"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28" xfId="0" applyFont="1" applyFill="1" applyBorder="1" applyAlignment="1">
      <alignment horizontal="center" vertical="center"/>
    </xf>
    <xf numFmtId="0" fontId="19" fillId="2" borderId="15" xfId="1" applyFont="1" applyFill="1" applyBorder="1" applyAlignment="1">
      <alignment horizontal="center" vertical="center"/>
    </xf>
    <xf numFmtId="0" fontId="62" fillId="2" borderId="17" xfId="1" applyFont="1" applyFill="1" applyBorder="1" applyAlignment="1">
      <alignment horizontal="center" vertical="center"/>
    </xf>
    <xf numFmtId="167" fontId="62" fillId="2" borderId="15" xfId="0" applyNumberFormat="1" applyFont="1" applyFill="1" applyBorder="1" applyAlignment="1">
      <alignment horizontal="center" vertical="center"/>
    </xf>
    <xf numFmtId="167" fontId="62" fillId="2" borderId="59" xfId="0" applyNumberFormat="1" applyFont="1" applyFill="1" applyBorder="1" applyAlignment="1">
      <alignment horizontal="center" vertical="center"/>
    </xf>
    <xf numFmtId="167" fontId="62" fillId="2" borderId="56" xfId="0" applyNumberFormat="1" applyFont="1" applyFill="1" applyBorder="1" applyAlignment="1">
      <alignment horizontal="center" vertical="center"/>
    </xf>
    <xf numFmtId="167" fontId="62" fillId="2" borderId="16" xfId="0" applyNumberFormat="1" applyFont="1" applyFill="1" applyBorder="1" applyAlignment="1">
      <alignment horizontal="center" vertical="center"/>
    </xf>
    <xf numFmtId="167" fontId="62" fillId="2" borderId="17" xfId="0" applyNumberFormat="1" applyFont="1" applyFill="1" applyBorder="1" applyAlignment="1">
      <alignment horizontal="center" vertical="center"/>
    </xf>
    <xf numFmtId="0" fontId="62" fillId="2" borderId="22" xfId="1" applyFont="1" applyFill="1" applyBorder="1" applyAlignment="1">
      <alignment horizontal="center" vertical="center"/>
    </xf>
    <xf numFmtId="0" fontId="62" fillId="2" borderId="23" xfId="1" applyFont="1" applyFill="1" applyBorder="1" applyAlignment="1">
      <alignment horizontal="center" vertical="center"/>
    </xf>
    <xf numFmtId="167" fontId="62" fillId="2" borderId="22" xfId="0" applyNumberFormat="1" applyFont="1" applyFill="1" applyBorder="1" applyAlignment="1">
      <alignment horizontal="center" vertical="center"/>
    </xf>
    <xf numFmtId="167" fontId="62" fillId="2" borderId="47" xfId="0" applyNumberFormat="1" applyFont="1" applyFill="1" applyBorder="1" applyAlignment="1">
      <alignment horizontal="center" vertical="center"/>
    </xf>
    <xf numFmtId="167" fontId="65" fillId="9" borderId="8" xfId="0" applyNumberFormat="1" applyFont="1" applyFill="1" applyBorder="1" applyAlignment="1">
      <alignment horizontal="center" vertical="center"/>
    </xf>
    <xf numFmtId="167" fontId="62" fillId="2" borderId="13" xfId="0" applyNumberFormat="1" applyFont="1" applyFill="1" applyBorder="1" applyAlignment="1">
      <alignment horizontal="center" vertical="center"/>
    </xf>
    <xf numFmtId="167" fontId="62" fillId="2" borderId="23" xfId="0" applyNumberFormat="1" applyFont="1" applyFill="1" applyBorder="1" applyAlignment="1">
      <alignment horizontal="center" vertical="center"/>
    </xf>
    <xf numFmtId="0" fontId="62" fillId="2" borderId="24" xfId="1" applyFont="1" applyFill="1" applyBorder="1" applyAlignment="1">
      <alignment horizontal="center" vertical="center"/>
    </xf>
    <xf numFmtId="0" fontId="62" fillId="2" borderId="25" xfId="1" applyFont="1" applyFill="1" applyBorder="1" applyAlignment="1">
      <alignment horizontal="center" vertical="center"/>
    </xf>
    <xf numFmtId="167" fontId="62" fillId="2" borderId="24" xfId="0" applyNumberFormat="1" applyFont="1" applyFill="1" applyBorder="1" applyAlignment="1">
      <alignment horizontal="center" vertical="center"/>
    </xf>
    <xf numFmtId="167" fontId="62" fillId="2" borderId="49" xfId="0" applyNumberFormat="1" applyFont="1" applyFill="1" applyBorder="1" applyAlignment="1">
      <alignment horizontal="center" vertical="center"/>
    </xf>
    <xf numFmtId="167" fontId="65" fillId="9" borderId="5" xfId="0" applyNumberFormat="1" applyFont="1" applyFill="1" applyBorder="1" applyAlignment="1">
      <alignment horizontal="center" vertical="center"/>
    </xf>
    <xf numFmtId="167" fontId="62" fillId="2" borderId="14" xfId="0" applyNumberFormat="1" applyFont="1" applyFill="1" applyBorder="1" applyAlignment="1">
      <alignment horizontal="center" vertical="center"/>
    </xf>
    <xf numFmtId="167" fontId="62" fillId="2" borderId="25" xfId="0" applyNumberFormat="1" applyFont="1" applyFill="1" applyBorder="1" applyAlignment="1">
      <alignment horizontal="center" vertical="center"/>
    </xf>
    <xf numFmtId="0" fontId="62" fillId="2" borderId="20" xfId="1" applyFont="1" applyFill="1" applyBorder="1" applyAlignment="1">
      <alignment horizontal="center" vertical="center"/>
    </xf>
    <xf numFmtId="0" fontId="62" fillId="2" borderId="21" xfId="1" applyFont="1" applyFill="1" applyBorder="1" applyAlignment="1">
      <alignment horizontal="center" vertical="center"/>
    </xf>
    <xf numFmtId="167" fontId="62" fillId="2" borderId="20" xfId="0" applyNumberFormat="1" applyFont="1" applyFill="1" applyBorder="1" applyAlignment="1">
      <alignment horizontal="center" vertical="center"/>
    </xf>
    <xf numFmtId="167" fontId="62" fillId="2" borderId="48" xfId="0" applyNumberFormat="1" applyFont="1" applyFill="1" applyBorder="1" applyAlignment="1">
      <alignment horizontal="center" vertical="center"/>
    </xf>
    <xf numFmtId="167" fontId="65" fillId="9" borderId="4" xfId="0" applyNumberFormat="1" applyFont="1" applyFill="1" applyBorder="1" applyAlignment="1">
      <alignment horizontal="center" vertical="center"/>
    </xf>
    <xf numFmtId="167" fontId="62" fillId="9" borderId="12" xfId="0" applyNumberFormat="1" applyFont="1" applyFill="1" applyBorder="1" applyAlignment="1">
      <alignment horizontal="center" vertical="center"/>
    </xf>
    <xf numFmtId="167" fontId="62" fillId="9" borderId="13" xfId="0" applyNumberFormat="1" applyFont="1" applyFill="1" applyBorder="1" applyAlignment="1">
      <alignment horizontal="center" vertical="center"/>
    </xf>
    <xf numFmtId="167" fontId="62" fillId="9" borderId="14" xfId="0" applyNumberFormat="1" applyFont="1" applyFill="1" applyBorder="1" applyAlignment="1">
      <alignment horizontal="center" vertical="center"/>
    </xf>
    <xf numFmtId="167" fontId="62" fillId="2" borderId="12" xfId="0" applyNumberFormat="1" applyFont="1" applyFill="1" applyBorder="1" applyAlignment="1">
      <alignment horizontal="center" vertical="center"/>
    </xf>
    <xf numFmtId="167" fontId="62" fillId="2" borderId="21" xfId="0" applyNumberFormat="1" applyFont="1" applyFill="1" applyBorder="1" applyAlignment="1">
      <alignment horizontal="center" vertical="center"/>
    </xf>
    <xf numFmtId="0" fontId="19" fillId="2" borderId="47" xfId="1" applyFont="1" applyFill="1" applyBorder="1" applyAlignment="1">
      <alignment vertical="center"/>
    </xf>
    <xf numFmtId="175" fontId="62" fillId="9" borderId="12" xfId="0" applyNumberFormat="1" applyFont="1" applyFill="1" applyBorder="1" applyAlignment="1">
      <alignment horizontal="center" vertical="center"/>
    </xf>
    <xf numFmtId="175" fontId="62" fillId="9" borderId="13" xfId="0" applyNumberFormat="1" applyFont="1" applyFill="1" applyBorder="1" applyAlignment="1">
      <alignment horizontal="center" vertical="center"/>
    </xf>
    <xf numFmtId="175" fontId="62" fillId="9" borderId="14" xfId="0" applyNumberFormat="1" applyFont="1" applyFill="1" applyBorder="1" applyAlignment="1">
      <alignment horizontal="center" vertical="center"/>
    </xf>
    <xf numFmtId="0" fontId="66" fillId="2" borderId="63" xfId="0" applyFont="1" applyFill="1" applyBorder="1" applyAlignment="1">
      <alignment horizontal="right" vertical="center"/>
    </xf>
    <xf numFmtId="0" fontId="66" fillId="2" borderId="66" xfId="0" applyFont="1" applyFill="1" applyBorder="1" applyAlignment="1">
      <alignment horizontal="right" vertical="center"/>
    </xf>
    <xf numFmtId="0" fontId="66" fillId="2" borderId="65" xfId="0" applyFont="1" applyFill="1" applyBorder="1" applyAlignment="1">
      <alignment horizontal="right" vertical="center"/>
    </xf>
    <xf numFmtId="167" fontId="66" fillId="2" borderId="65" xfId="0" applyNumberFormat="1" applyFont="1" applyFill="1" applyBorder="1" applyAlignment="1">
      <alignment horizontal="center" vertical="center"/>
    </xf>
    <xf numFmtId="172" fontId="66" fillId="2" borderId="71" xfId="0" applyNumberFormat="1" applyFont="1" applyFill="1" applyBorder="1" applyAlignment="1">
      <alignment horizontal="center" vertical="center"/>
    </xf>
    <xf numFmtId="172" fontId="66" fillId="2" borderId="30" xfId="0" applyNumberFormat="1" applyFont="1" applyFill="1" applyBorder="1" applyAlignment="1">
      <alignment horizontal="center" vertical="center"/>
    </xf>
    <xf numFmtId="172" fontId="66" fillId="2" borderId="31" xfId="0" applyNumberFormat="1" applyFont="1" applyFill="1" applyBorder="1" applyAlignment="1">
      <alignment horizontal="center" vertical="center"/>
    </xf>
    <xf numFmtId="0" fontId="12" fillId="2" borderId="1" xfId="0" applyFont="1" applyFill="1" applyBorder="1" applyAlignment="1">
      <alignment horizontal="left" vertical="center"/>
    </xf>
    <xf numFmtId="0" fontId="59" fillId="2" borderId="0" xfId="1" applyFont="1" applyFill="1" applyAlignment="1">
      <alignment vertical="center"/>
    </xf>
    <xf numFmtId="0" fontId="9" fillId="0" borderId="11" xfId="0" applyFont="1" applyFill="1" applyBorder="1" applyAlignment="1" applyProtection="1">
      <alignment horizontal="left" vertical="center" wrapText="1"/>
    </xf>
    <xf numFmtId="0" fontId="1" fillId="0" borderId="11" xfId="0" applyFont="1" applyFill="1" applyBorder="1" applyAlignment="1" applyProtection="1">
      <alignment horizontal="left" vertical="center" wrapText="1"/>
    </xf>
    <xf numFmtId="0" fontId="9" fillId="0" borderId="11" xfId="0" applyFont="1" applyFill="1" applyBorder="1" applyAlignment="1" applyProtection="1">
      <alignment vertical="center" wrapText="1"/>
    </xf>
    <xf numFmtId="0" fontId="1" fillId="2" borderId="2" xfId="1" applyFill="1" applyBorder="1" applyAlignment="1">
      <alignment horizontal="center" vertical="center"/>
    </xf>
    <xf numFmtId="0" fontId="1" fillId="2" borderId="0" xfId="1" applyFont="1" applyFill="1" applyBorder="1" applyAlignment="1">
      <alignment horizontal="left" vertical="center"/>
    </xf>
    <xf numFmtId="0" fontId="20" fillId="2" borderId="0" xfId="1" applyFont="1" applyFill="1" applyBorder="1" applyAlignment="1">
      <alignment horizontal="right" vertical="center"/>
    </xf>
    <xf numFmtId="0" fontId="1" fillId="2" borderId="0" xfId="1" applyFill="1" applyBorder="1" applyAlignment="1">
      <alignment horizontal="center" vertical="center"/>
    </xf>
    <xf numFmtId="0" fontId="1" fillId="2" borderId="0" xfId="1" applyFont="1" applyFill="1" applyBorder="1" applyAlignment="1">
      <alignment horizontal="center" vertical="center"/>
    </xf>
    <xf numFmtId="0" fontId="9" fillId="2" borderId="0" xfId="1" applyFont="1" applyFill="1" applyBorder="1" applyAlignment="1">
      <alignment horizontal="center" vertical="center"/>
    </xf>
    <xf numFmtId="0" fontId="11" fillId="2" borderId="0" xfId="1" applyFont="1" applyFill="1" applyBorder="1" applyAlignment="1">
      <alignment vertical="top"/>
    </xf>
    <xf numFmtId="0" fontId="5" fillId="2" borderId="0" xfId="1" applyFont="1" applyFill="1" applyBorder="1" applyAlignment="1">
      <alignment horizontal="center" vertical="center"/>
    </xf>
    <xf numFmtId="164" fontId="5" fillId="2" borderId="0" xfId="1" applyNumberFormat="1" applyFont="1" applyFill="1" applyBorder="1" applyAlignment="1">
      <alignment horizontal="center" vertical="center"/>
    </xf>
    <xf numFmtId="170" fontId="5" fillId="2" borderId="0" xfId="1" applyNumberFormat="1" applyFont="1" applyFill="1" applyBorder="1" applyAlignment="1">
      <alignment horizontal="center" vertical="center"/>
    </xf>
    <xf numFmtId="0" fontId="9" fillId="2" borderId="0" xfId="1" applyFont="1" applyFill="1" applyBorder="1" applyAlignment="1">
      <alignment horizontal="center" vertical="center" wrapText="1"/>
    </xf>
    <xf numFmtId="164" fontId="45" fillId="2" borderId="0" xfId="0" applyNumberFormat="1" applyFont="1" applyFill="1" applyBorder="1" applyAlignment="1">
      <alignment horizontal="center" vertical="center"/>
    </xf>
    <xf numFmtId="0" fontId="1" fillId="2" borderId="0" xfId="1" applyFill="1" applyAlignment="1">
      <alignment horizontal="center" vertical="center"/>
    </xf>
    <xf numFmtId="0" fontId="1" fillId="2" borderId="0" xfId="0" applyFont="1" applyFill="1" applyBorder="1" applyAlignment="1">
      <alignment horizontal="left" vertical="center"/>
    </xf>
    <xf numFmtId="0" fontId="1" fillId="2" borderId="0" xfId="0" applyFont="1" applyFill="1" applyBorder="1" applyAlignment="1">
      <alignment horizontal="center" vertical="center"/>
    </xf>
    <xf numFmtId="164" fontId="5" fillId="2" borderId="0" xfId="0" applyNumberFormat="1" applyFont="1" applyFill="1" applyBorder="1" applyAlignment="1">
      <alignment horizontal="center" vertical="center"/>
    </xf>
    <xf numFmtId="0" fontId="12" fillId="2" borderId="18" xfId="1" applyFont="1" applyFill="1" applyBorder="1" applyAlignment="1">
      <alignment horizontal="center" vertical="center"/>
    </xf>
    <xf numFmtId="0" fontId="12" fillId="2" borderId="24" xfId="1" applyFont="1" applyFill="1" applyBorder="1" applyAlignment="1">
      <alignment horizontal="center" vertical="center"/>
    </xf>
    <xf numFmtId="0" fontId="1" fillId="2" borderId="0" xfId="1" applyFill="1" applyAlignment="1">
      <alignment horizontal="left" vertical="center"/>
    </xf>
    <xf numFmtId="0" fontId="12" fillId="3" borderId="11" xfId="0" applyFont="1" applyFill="1" applyBorder="1" applyAlignment="1">
      <alignment horizontal="left" vertical="center"/>
    </xf>
    <xf numFmtId="0" fontId="9" fillId="0" borderId="11" xfId="0" applyFont="1" applyFill="1" applyBorder="1" applyAlignment="1" applyProtection="1">
      <alignment horizontal="center" vertical="center" wrapText="1"/>
    </xf>
    <xf numFmtId="0" fontId="12" fillId="0" borderId="11" xfId="0" applyFont="1" applyBorder="1" applyAlignment="1">
      <alignment horizontal="center" vertical="center" wrapText="1"/>
    </xf>
    <xf numFmtId="0" fontId="12" fillId="0" borderId="11" xfId="0" applyFont="1" applyBorder="1" applyAlignment="1">
      <alignment horizontal="right" vertical="center" wrapText="1"/>
    </xf>
    <xf numFmtId="0" fontId="6" fillId="2" borderId="0" xfId="0" applyFont="1" applyFill="1" applyBorder="1" applyAlignment="1"/>
    <xf numFmtId="49" fontId="12" fillId="0" borderId="0" xfId="0" applyNumberFormat="1" applyFont="1" applyAlignment="1">
      <alignment horizontal="left" vertical="center"/>
    </xf>
    <xf numFmtId="0" fontId="69" fillId="2" borderId="0" xfId="0" applyFont="1" applyFill="1" applyBorder="1" applyAlignment="1">
      <alignment horizontal="center" vertical="center"/>
    </xf>
    <xf numFmtId="0" fontId="7" fillId="12" borderId="7" xfId="7" applyFont="1" applyFill="1" applyBorder="1" applyAlignment="1">
      <alignment horizontal="center" vertical="center"/>
    </xf>
    <xf numFmtId="0" fontId="7" fillId="13" borderId="7" xfId="7" applyFont="1" applyFill="1" applyBorder="1" applyAlignment="1">
      <alignment horizontal="center" vertical="center"/>
    </xf>
    <xf numFmtId="0" fontId="7" fillId="14" borderId="7" xfId="7" applyFont="1" applyFill="1" applyBorder="1" applyAlignment="1">
      <alignment horizontal="center" vertical="center"/>
    </xf>
    <xf numFmtId="0" fontId="7" fillId="6" borderId="7" xfId="7" applyFont="1" applyFill="1" applyBorder="1" applyAlignment="1">
      <alignment horizontal="center" vertical="center"/>
    </xf>
    <xf numFmtId="0" fontId="7" fillId="11" borderId="7" xfId="7" applyFont="1" applyFill="1" applyBorder="1" applyAlignment="1">
      <alignment horizontal="center" vertical="center"/>
    </xf>
    <xf numFmtId="0" fontId="7" fillId="15" borderId="7" xfId="7" applyFont="1" applyFill="1" applyBorder="1" applyAlignment="1">
      <alignment horizontal="center" vertical="center"/>
    </xf>
    <xf numFmtId="0" fontId="7" fillId="16" borderId="6" xfId="7" applyFont="1" applyFill="1" applyBorder="1" applyAlignment="1">
      <alignment horizontal="center" vertical="center"/>
    </xf>
    <xf numFmtId="0" fontId="44" fillId="2" borderId="0" xfId="0" applyFont="1" applyFill="1" applyBorder="1" applyAlignment="1">
      <alignment vertical="top" wrapText="1"/>
    </xf>
    <xf numFmtId="0" fontId="1" fillId="2" borderId="0" xfId="1" applyFont="1" applyFill="1" applyAlignment="1">
      <alignment vertical="top"/>
    </xf>
    <xf numFmtId="0" fontId="49" fillId="2" borderId="0" xfId="0" applyFont="1" applyFill="1" applyBorder="1" applyAlignment="1">
      <alignment vertical="top" wrapText="1"/>
    </xf>
    <xf numFmtId="0" fontId="12" fillId="2" borderId="0" xfId="0" applyFont="1" applyFill="1" applyAlignment="1">
      <alignment vertical="center"/>
    </xf>
    <xf numFmtId="0" fontId="1" fillId="2" borderId="0" xfId="1" applyFont="1" applyFill="1" applyBorder="1" applyAlignment="1">
      <alignment horizontal="right" vertical="center"/>
    </xf>
    <xf numFmtId="0" fontId="1" fillId="2" borderId="0" xfId="1" applyFill="1" applyBorder="1" applyAlignment="1">
      <alignment horizontal="center" vertical="center"/>
    </xf>
    <xf numFmtId="0" fontId="12" fillId="3" borderId="11" xfId="0" applyFont="1" applyFill="1" applyBorder="1" applyAlignment="1">
      <alignment horizontal="center" vertical="center"/>
    </xf>
    <xf numFmtId="0" fontId="6" fillId="0" borderId="2" xfId="0" applyFont="1" applyBorder="1" applyAlignment="1">
      <alignment vertical="center"/>
    </xf>
    <xf numFmtId="0" fontId="50" fillId="2" borderId="2" xfId="0" applyFont="1" applyFill="1" applyBorder="1" applyAlignment="1">
      <alignment horizontal="center" vertical="center"/>
    </xf>
    <xf numFmtId="0" fontId="12" fillId="2" borderId="18"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35" xfId="1" applyFont="1" applyFill="1" applyBorder="1" applyAlignment="1">
      <alignment horizontal="center" vertical="center"/>
    </xf>
    <xf numFmtId="0" fontId="7" fillId="2" borderId="0" xfId="1" applyFont="1" applyFill="1" applyAlignment="1">
      <alignment vertical="center"/>
    </xf>
    <xf numFmtId="0" fontId="8" fillId="2" borderId="0" xfId="1" applyFont="1" applyFill="1" applyAlignment="1"/>
    <xf numFmtId="0" fontId="2" fillId="2" borderId="0" xfId="1" applyFont="1" applyFill="1" applyBorder="1" applyAlignment="1">
      <alignment vertical="center"/>
    </xf>
    <xf numFmtId="0" fontId="5" fillId="2" borderId="0" xfId="1" applyFont="1" applyFill="1" applyAlignment="1">
      <alignment vertical="center"/>
    </xf>
    <xf numFmtId="9" fontId="1" fillId="2" borderId="81" xfId="2" applyFont="1" applyFill="1" applyBorder="1" applyAlignment="1">
      <alignment horizontal="center" vertical="center"/>
    </xf>
    <xf numFmtId="0" fontId="24" fillId="2" borderId="0" xfId="1" applyFont="1" applyFill="1" applyAlignment="1">
      <alignment vertical="center"/>
    </xf>
    <xf numFmtId="0" fontId="1" fillId="2" borderId="42" xfId="1" applyFont="1" applyFill="1" applyBorder="1" applyAlignment="1">
      <alignment horizontal="left" vertical="top" indent="1"/>
    </xf>
    <xf numFmtId="0" fontId="1" fillId="2" borderId="0" xfId="1" quotePrefix="1" applyFill="1" applyAlignment="1">
      <alignment vertical="center"/>
    </xf>
    <xf numFmtId="164" fontId="9" fillId="2" borderId="0" xfId="1" applyNumberFormat="1" applyFont="1" applyFill="1" applyBorder="1" applyAlignment="1">
      <alignment vertical="center" wrapText="1"/>
    </xf>
    <xf numFmtId="0" fontId="0" fillId="2" borderId="0" xfId="0" applyFill="1" applyBorder="1" applyAlignment="1">
      <alignment vertical="center" wrapText="1"/>
    </xf>
    <xf numFmtId="0" fontId="0" fillId="2" borderId="0" xfId="0" applyFill="1" applyAlignment="1">
      <alignment vertical="center"/>
    </xf>
    <xf numFmtId="0" fontId="6" fillId="0" borderId="1" xfId="0" applyFont="1" applyBorder="1" applyAlignment="1">
      <alignment vertical="center"/>
    </xf>
    <xf numFmtId="0" fontId="6" fillId="0" borderId="0" xfId="0" applyFont="1" applyBorder="1" applyAlignment="1">
      <alignment vertical="center"/>
    </xf>
    <xf numFmtId="2" fontId="16" fillId="0" borderId="0" xfId="0" applyNumberFormat="1" applyFont="1" applyBorder="1" applyAlignment="1">
      <alignment horizontal="center" vertical="center"/>
    </xf>
    <xf numFmtId="0" fontId="54" fillId="2" borderId="0" xfId="0" applyFont="1" applyFill="1" applyBorder="1" applyAlignment="1">
      <alignment horizontal="right" vertical="center"/>
    </xf>
    <xf numFmtId="2" fontId="16" fillId="0" borderId="0" xfId="0" applyNumberFormat="1" applyFont="1" applyFill="1" applyBorder="1" applyAlignment="1">
      <alignment horizontal="center" vertical="center"/>
    </xf>
    <xf numFmtId="164" fontId="56" fillId="2" borderId="0" xfId="0" applyNumberFormat="1" applyFont="1" applyFill="1" applyBorder="1" applyAlignment="1">
      <alignment horizontal="center" vertical="center"/>
    </xf>
    <xf numFmtId="0" fontId="24" fillId="2" borderId="0" xfId="1" applyFont="1" applyFill="1" applyBorder="1" applyAlignment="1">
      <alignment vertical="center"/>
    </xf>
    <xf numFmtId="3" fontId="1" fillId="2" borderId="0" xfId="1" applyNumberFormat="1" applyFill="1" applyAlignment="1">
      <alignment vertical="center"/>
    </xf>
    <xf numFmtId="0" fontId="60" fillId="2" borderId="0" xfId="1" applyFont="1" applyFill="1" applyBorder="1" applyAlignment="1">
      <alignment vertical="center"/>
    </xf>
    <xf numFmtId="0" fontId="48" fillId="2" borderId="0" xfId="3" applyFont="1" applyFill="1" applyBorder="1" applyAlignment="1">
      <alignment vertical="center"/>
    </xf>
    <xf numFmtId="172" fontId="1" fillId="3" borderId="19" xfId="1" applyNumberFormat="1" applyFont="1" applyFill="1" applyBorder="1" applyAlignment="1">
      <alignment horizontal="center" vertical="center"/>
    </xf>
    <xf numFmtId="0" fontId="0" fillId="2" borderId="63" xfId="0" applyFill="1" applyBorder="1"/>
    <xf numFmtId="0" fontId="0" fillId="2" borderId="66" xfId="0" applyFill="1" applyBorder="1"/>
    <xf numFmtId="10" fontId="0" fillId="2" borderId="65" xfId="0" applyNumberFormat="1" applyFill="1" applyBorder="1"/>
    <xf numFmtId="0" fontId="0" fillId="2" borderId="65" xfId="0" applyFill="1" applyBorder="1" applyAlignment="1">
      <alignment horizontal="center"/>
    </xf>
    <xf numFmtId="0" fontId="0" fillId="2" borderId="23" xfId="0" applyFill="1" applyBorder="1" applyAlignment="1">
      <alignment horizontal="center"/>
    </xf>
    <xf numFmtId="167" fontId="0" fillId="2" borderId="19" xfId="0" applyNumberFormat="1" applyFill="1" applyBorder="1" applyAlignment="1">
      <alignment horizontal="center"/>
    </xf>
    <xf numFmtId="167" fontId="0" fillId="2" borderId="38" xfId="0" applyNumberFormat="1" applyFill="1" applyBorder="1" applyAlignment="1">
      <alignment horizontal="center"/>
    </xf>
    <xf numFmtId="0" fontId="0" fillId="2" borderId="29" xfId="0" applyFill="1" applyBorder="1" applyAlignment="1">
      <alignment horizontal="center"/>
    </xf>
    <xf numFmtId="0" fontId="7" fillId="2" borderId="0" xfId="0" applyFont="1" applyFill="1" applyAlignment="1">
      <alignment horizontal="left" vertical="center"/>
    </xf>
    <xf numFmtId="0" fontId="7" fillId="0" borderId="0" xfId="1" applyFont="1" applyFill="1" applyAlignment="1">
      <alignment vertical="center"/>
    </xf>
    <xf numFmtId="0" fontId="7" fillId="2" borderId="0" xfId="1" applyFont="1" applyFill="1" applyBorder="1" applyAlignment="1">
      <alignment vertical="center"/>
    </xf>
    <xf numFmtId="0" fontId="71" fillId="2" borderId="0" xfId="1" applyFont="1" applyFill="1" applyAlignment="1">
      <alignment vertical="center"/>
    </xf>
    <xf numFmtId="0" fontId="7" fillId="2" borderId="0" xfId="1" applyFont="1" applyFill="1" applyAlignment="1">
      <alignment horizontal="center" vertical="center"/>
    </xf>
    <xf numFmtId="0" fontId="16" fillId="2" borderId="0" xfId="0" applyFont="1" applyFill="1" applyAlignment="1">
      <alignment vertical="center"/>
    </xf>
    <xf numFmtId="0" fontId="49" fillId="2" borderId="0" xfId="1" applyFont="1" applyFill="1" applyAlignment="1">
      <alignment vertical="center"/>
    </xf>
    <xf numFmtId="0" fontId="49" fillId="2" borderId="0" xfId="1" applyFont="1" applyFill="1" applyAlignment="1">
      <alignment vertical="center" wrapText="1"/>
    </xf>
    <xf numFmtId="0" fontId="7" fillId="2" borderId="11" xfId="1" applyFont="1" applyFill="1" applyBorder="1" applyAlignment="1">
      <alignment vertical="center"/>
    </xf>
    <xf numFmtId="0" fontId="6" fillId="2" borderId="11" xfId="0" applyFont="1" applyFill="1" applyBorder="1" applyAlignment="1">
      <alignment vertical="center"/>
    </xf>
    <xf numFmtId="0" fontId="6" fillId="0" borderId="11" xfId="0" applyFont="1" applyFill="1" applyBorder="1" applyAlignment="1">
      <alignment vertical="center"/>
    </xf>
    <xf numFmtId="0" fontId="7" fillId="2" borderId="7" xfId="1" applyFont="1" applyFill="1" applyBorder="1" applyAlignment="1">
      <alignment vertical="center"/>
    </xf>
    <xf numFmtId="167" fontId="7" fillId="2" borderId="8" xfId="1" applyNumberFormat="1" applyFont="1" applyFill="1" applyBorder="1" applyAlignment="1">
      <alignment vertical="center"/>
    </xf>
    <xf numFmtId="0" fontId="7" fillId="2" borderId="6" xfId="1" applyFont="1" applyFill="1" applyBorder="1" applyAlignment="1">
      <alignment vertical="center"/>
    </xf>
    <xf numFmtId="0" fontId="7" fillId="2" borderId="2" xfId="1" applyFont="1" applyFill="1" applyBorder="1" applyAlignment="1">
      <alignment vertical="center"/>
    </xf>
    <xf numFmtId="167" fontId="7" fillId="2" borderId="5" xfId="1" applyNumberFormat="1" applyFont="1" applyFill="1" applyBorder="1" applyAlignment="1">
      <alignment vertical="center"/>
    </xf>
    <xf numFmtId="0" fontId="7" fillId="2" borderId="0" xfId="1" applyFont="1" applyFill="1" applyAlignment="1">
      <alignment horizontal="left" vertical="center"/>
    </xf>
    <xf numFmtId="3" fontId="1" fillId="2" borderId="0" xfId="1" applyNumberFormat="1" applyFont="1" applyFill="1" applyBorder="1" applyAlignment="1">
      <alignment horizontal="center" vertical="center"/>
    </xf>
    <xf numFmtId="3" fontId="9" fillId="2" borderId="0" xfId="1" applyNumberFormat="1" applyFont="1" applyFill="1" applyBorder="1" applyAlignment="1">
      <alignment horizontal="center" vertical="center"/>
    </xf>
    <xf numFmtId="0" fontId="1" fillId="2" borderId="0" xfId="1" quotePrefix="1" applyFill="1" applyBorder="1" applyAlignment="1">
      <alignment vertical="center"/>
    </xf>
    <xf numFmtId="0" fontId="1" fillId="2" borderId="0" xfId="1" quotePrefix="1" applyFont="1" applyFill="1" applyBorder="1" applyAlignment="1">
      <alignment vertical="center"/>
    </xf>
    <xf numFmtId="0" fontId="1" fillId="2" borderId="0" xfId="1" applyFont="1" applyFill="1" applyBorder="1" applyAlignment="1">
      <alignment horizontal="left" vertical="center"/>
    </xf>
    <xf numFmtId="0" fontId="1" fillId="2" borderId="0" xfId="1" applyFont="1" applyFill="1" applyBorder="1" applyAlignment="1">
      <alignment horizontal="center" vertical="center"/>
    </xf>
    <xf numFmtId="0" fontId="1" fillId="2" borderId="0" xfId="1" applyFont="1" applyFill="1" applyAlignment="1">
      <alignment horizontal="center" vertical="center"/>
    </xf>
    <xf numFmtId="0" fontId="6" fillId="2" borderId="58" xfId="0" applyFont="1" applyFill="1" applyBorder="1" applyAlignment="1">
      <alignment vertical="center"/>
    </xf>
    <xf numFmtId="175" fontId="8" fillId="0" borderId="0" xfId="0" applyNumberFormat="1" applyFont="1" applyFill="1" applyBorder="1" applyAlignment="1">
      <alignment horizontal="center" vertical="center"/>
    </xf>
    <xf numFmtId="175" fontId="47" fillId="0" borderId="42" xfId="0" applyNumberFormat="1" applyFont="1" applyFill="1" applyBorder="1" applyAlignment="1">
      <alignment horizontal="center" vertical="center"/>
    </xf>
    <xf numFmtId="175" fontId="47" fillId="0" borderId="13" xfId="0" applyNumberFormat="1" applyFont="1" applyFill="1" applyBorder="1" applyAlignment="1">
      <alignment horizontal="center" vertical="center"/>
    </xf>
    <xf numFmtId="175" fontId="8" fillId="0" borderId="62" xfId="0" applyNumberFormat="1" applyFont="1" applyFill="1" applyBorder="1" applyAlignment="1">
      <alignment horizontal="center" vertical="center"/>
    </xf>
    <xf numFmtId="175" fontId="8" fillId="0" borderId="47" xfId="0" applyNumberFormat="1" applyFont="1" applyFill="1" applyBorder="1" applyAlignment="1">
      <alignment horizontal="center" vertical="center"/>
    </xf>
    <xf numFmtId="175" fontId="8" fillId="0" borderId="2" xfId="0" applyNumberFormat="1" applyFont="1" applyFill="1" applyBorder="1" applyAlignment="1">
      <alignment horizontal="center" vertical="center"/>
    </xf>
    <xf numFmtId="175" fontId="47" fillId="0" borderId="44" xfId="0" applyNumberFormat="1" applyFont="1" applyFill="1" applyBorder="1" applyAlignment="1">
      <alignment horizontal="center" vertical="center"/>
    </xf>
    <xf numFmtId="175" fontId="47" fillId="0" borderId="14" xfId="0" applyNumberFormat="1" applyFont="1" applyFill="1" applyBorder="1" applyAlignment="1">
      <alignment horizontal="center" vertical="center"/>
    </xf>
    <xf numFmtId="175" fontId="8" fillId="0" borderId="49" xfId="0" applyNumberFormat="1" applyFont="1" applyFill="1" applyBorder="1" applyAlignment="1">
      <alignment horizontal="center" vertical="center"/>
    </xf>
    <xf numFmtId="175" fontId="8" fillId="0" borderId="1" xfId="0" applyNumberFormat="1" applyFont="1" applyFill="1" applyBorder="1" applyAlignment="1">
      <alignment horizontal="center" vertical="center"/>
    </xf>
    <xf numFmtId="175" fontId="47" fillId="0" borderId="43" xfId="0" applyNumberFormat="1" applyFont="1" applyFill="1" applyBorder="1" applyAlignment="1">
      <alignment horizontal="center" vertical="center"/>
    </xf>
    <xf numFmtId="175" fontId="47" fillId="0" borderId="12" xfId="0" applyNumberFormat="1" applyFont="1" applyFill="1" applyBorder="1" applyAlignment="1">
      <alignment horizontal="center" vertical="center"/>
    </xf>
    <xf numFmtId="175" fontId="8" fillId="0" borderId="48" xfId="0" applyNumberFormat="1" applyFont="1" applyFill="1" applyBorder="1" applyAlignment="1">
      <alignment horizontal="center" vertical="center"/>
    </xf>
    <xf numFmtId="175" fontId="8" fillId="0" borderId="50" xfId="0" applyNumberFormat="1" applyFont="1" applyFill="1" applyBorder="1" applyAlignment="1">
      <alignment horizontal="center" vertical="center"/>
    </xf>
    <xf numFmtId="175" fontId="47" fillId="0" borderId="45" xfId="0" applyNumberFormat="1" applyFont="1" applyFill="1" applyBorder="1" applyAlignment="1">
      <alignment horizontal="center" vertical="center"/>
    </xf>
    <xf numFmtId="175" fontId="47" fillId="0" borderId="27" xfId="0" applyNumberFormat="1" applyFont="1" applyFill="1" applyBorder="1" applyAlignment="1">
      <alignment horizontal="center" vertical="center"/>
    </xf>
    <xf numFmtId="175" fontId="8" fillId="0" borderId="51" xfId="0" applyNumberFormat="1" applyFont="1" applyFill="1" applyBorder="1" applyAlignment="1">
      <alignment horizontal="center" vertical="center"/>
    </xf>
    <xf numFmtId="2" fontId="16" fillId="0" borderId="2" xfId="0" applyNumberFormat="1" applyFont="1" applyBorder="1" applyAlignment="1">
      <alignment horizontal="center" vertical="center"/>
    </xf>
    <xf numFmtId="0" fontId="54" fillId="2" borderId="2" xfId="0" applyFont="1" applyFill="1" applyBorder="1" applyAlignment="1">
      <alignment horizontal="right" vertical="center"/>
    </xf>
    <xf numFmtId="2" fontId="16" fillId="0" borderId="2" xfId="0" applyNumberFormat="1" applyFont="1" applyFill="1" applyBorder="1" applyAlignment="1">
      <alignment horizontal="center" vertical="center"/>
    </xf>
    <xf numFmtId="0" fontId="12" fillId="2" borderId="0" xfId="1" applyFont="1" applyFill="1" applyBorder="1" applyAlignment="1">
      <alignment horizontal="center" vertical="center"/>
    </xf>
    <xf numFmtId="167" fontId="0" fillId="2" borderId="0" xfId="0" applyNumberFormat="1" applyFill="1" applyBorder="1" applyAlignment="1">
      <alignment horizontal="center"/>
    </xf>
    <xf numFmtId="167" fontId="0" fillId="2" borderId="21" xfId="0" applyNumberFormat="1" applyFill="1" applyBorder="1" applyAlignment="1">
      <alignment horizontal="center"/>
    </xf>
    <xf numFmtId="167" fontId="0" fillId="2" borderId="17" xfId="0" applyNumberFormat="1" applyFill="1" applyBorder="1" applyAlignment="1">
      <alignment horizontal="center"/>
    </xf>
    <xf numFmtId="0" fontId="69" fillId="2" borderId="0" xfId="1" applyFont="1" applyFill="1" applyAlignment="1">
      <alignment vertical="center"/>
    </xf>
    <xf numFmtId="2" fontId="69" fillId="2" borderId="0" xfId="1" applyNumberFormat="1" applyFont="1" applyFill="1" applyAlignment="1">
      <alignment vertical="center"/>
    </xf>
    <xf numFmtId="178" fontId="69" fillId="2" borderId="0" xfId="1" applyNumberFormat="1" applyFont="1" applyFill="1" applyAlignment="1">
      <alignment vertical="center"/>
    </xf>
    <xf numFmtId="179" fontId="69" fillId="2" borderId="0" xfId="1" applyNumberFormat="1" applyFont="1" applyFill="1" applyAlignment="1">
      <alignment vertical="center"/>
    </xf>
    <xf numFmtId="167" fontId="69" fillId="2" borderId="0" xfId="1" applyNumberFormat="1" applyFont="1" applyFill="1" applyAlignment="1">
      <alignment vertical="center"/>
    </xf>
    <xf numFmtId="3" fontId="69" fillId="2" borderId="0" xfId="1" applyNumberFormat="1" applyFont="1" applyFill="1" applyAlignment="1">
      <alignment vertical="center"/>
    </xf>
    <xf numFmtId="0" fontId="69" fillId="2" borderId="0" xfId="1" applyFont="1" applyFill="1" applyAlignment="1">
      <alignment horizontal="right" vertical="center"/>
    </xf>
    <xf numFmtId="0" fontId="59" fillId="2" borderId="0" xfId="1" applyFont="1" applyFill="1" applyBorder="1" applyAlignment="1">
      <alignment vertical="center"/>
    </xf>
    <xf numFmtId="0" fontId="1" fillId="2" borderId="2" xfId="0" applyFont="1" applyFill="1" applyBorder="1"/>
    <xf numFmtId="0" fontId="1" fillId="0" borderId="2" xfId="1" applyBorder="1" applyAlignment="1">
      <alignment vertical="center"/>
    </xf>
    <xf numFmtId="0" fontId="24" fillId="2" borderId="0" xfId="1" applyFont="1" applyFill="1" applyAlignment="1">
      <alignment horizontal="left" vertical="center"/>
    </xf>
    <xf numFmtId="0" fontId="12" fillId="3" borderId="11" xfId="0" applyFont="1" applyFill="1" applyBorder="1" applyAlignment="1">
      <alignment vertical="center"/>
    </xf>
    <xf numFmtId="0" fontId="12" fillId="2" borderId="11" xfId="0" applyFont="1" applyFill="1" applyBorder="1" applyAlignment="1">
      <alignment horizontal="center" vertical="center"/>
    </xf>
    <xf numFmtId="174" fontId="12" fillId="2" borderId="11" xfId="5" applyNumberFormat="1" applyFont="1" applyFill="1" applyBorder="1" applyAlignment="1">
      <alignment horizontal="center" vertical="center"/>
    </xf>
    <xf numFmtId="167" fontId="72" fillId="2" borderId="78" xfId="0" applyNumberFormat="1" applyFont="1" applyFill="1" applyBorder="1" applyAlignment="1">
      <alignment horizontal="center" vertical="center"/>
    </xf>
    <xf numFmtId="167" fontId="72" fillId="2" borderId="81" xfId="0" applyNumberFormat="1" applyFont="1" applyFill="1" applyBorder="1" applyAlignment="1">
      <alignment horizontal="center" vertical="center"/>
    </xf>
    <xf numFmtId="167" fontId="72" fillId="2" borderId="84" xfId="0" applyNumberFormat="1" applyFont="1" applyFill="1" applyBorder="1" applyAlignment="1">
      <alignment horizontal="center" vertical="center"/>
    </xf>
    <xf numFmtId="0" fontId="1" fillId="2" borderId="78" xfId="1" applyFont="1" applyFill="1" applyBorder="1" applyAlignment="1">
      <alignment horizontal="center" vertical="center"/>
    </xf>
    <xf numFmtId="0" fontId="1" fillId="2" borderId="78" xfId="1" applyFont="1" applyFill="1" applyBorder="1" applyAlignment="1">
      <alignment horizontal="left" vertical="center"/>
    </xf>
    <xf numFmtId="0" fontId="1" fillId="2" borderId="79" xfId="1" applyFont="1" applyFill="1" applyBorder="1" applyAlignment="1">
      <alignment horizontal="center" vertical="center"/>
    </xf>
    <xf numFmtId="177" fontId="1" fillId="2" borderId="80" xfId="1" applyNumberFormat="1" applyFont="1" applyFill="1" applyBorder="1" applyAlignment="1">
      <alignment horizontal="center" vertical="center"/>
    </xf>
    <xf numFmtId="173" fontId="1" fillId="2" borderId="78" xfId="1" applyNumberFormat="1" applyFont="1" applyFill="1" applyBorder="1" applyAlignment="1">
      <alignment horizontal="left" vertical="center"/>
    </xf>
    <xf numFmtId="173" fontId="1" fillId="2" borderId="80" xfId="1" applyNumberFormat="1" applyFont="1" applyFill="1" applyBorder="1" applyAlignment="1">
      <alignment horizontal="left" vertical="center"/>
    </xf>
    <xf numFmtId="2" fontId="1" fillId="2" borderId="78" xfId="1" applyNumberFormat="1" applyFont="1" applyFill="1" applyBorder="1" applyAlignment="1">
      <alignment horizontal="center" vertical="center"/>
    </xf>
    <xf numFmtId="167" fontId="1" fillId="2" borderId="78" xfId="1" applyNumberFormat="1" applyFont="1" applyFill="1" applyBorder="1" applyAlignment="1">
      <alignment horizontal="center" vertical="center"/>
    </xf>
    <xf numFmtId="0" fontId="1" fillId="2" borderId="81" xfId="1" applyFont="1" applyFill="1" applyBorder="1" applyAlignment="1">
      <alignment horizontal="center" vertical="center"/>
    </xf>
    <xf numFmtId="0" fontId="1" fillId="2" borderId="82" xfId="1" applyFont="1" applyFill="1" applyBorder="1" applyAlignment="1">
      <alignment horizontal="center" vertical="center"/>
    </xf>
    <xf numFmtId="0" fontId="1" fillId="2" borderId="84" xfId="1" applyFont="1" applyFill="1" applyBorder="1" applyAlignment="1">
      <alignment horizontal="center" vertical="center"/>
    </xf>
    <xf numFmtId="0" fontId="1" fillId="2" borderId="84" xfId="1" applyFont="1" applyFill="1" applyBorder="1" applyAlignment="1">
      <alignment horizontal="left" vertical="center"/>
    </xf>
    <xf numFmtId="0" fontId="1" fillId="2" borderId="85" xfId="1" applyFont="1" applyFill="1" applyBorder="1" applyAlignment="1">
      <alignment horizontal="center" vertical="center"/>
    </xf>
    <xf numFmtId="167" fontId="72" fillId="2" borderId="90" xfId="0" applyNumberFormat="1" applyFont="1" applyFill="1" applyBorder="1" applyAlignment="1">
      <alignment horizontal="center" vertical="center"/>
    </xf>
    <xf numFmtId="177" fontId="1" fillId="2" borderId="96" xfId="1" applyNumberFormat="1" applyFont="1" applyFill="1" applyBorder="1" applyAlignment="1">
      <alignment horizontal="center" vertical="center"/>
    </xf>
    <xf numFmtId="173" fontId="1" fillId="2" borderId="85" xfId="1" applyNumberFormat="1" applyFont="1" applyFill="1" applyBorder="1" applyAlignment="1">
      <alignment horizontal="left" vertical="center"/>
    </xf>
    <xf numFmtId="173" fontId="1" fillId="2" borderId="84" xfId="1" applyNumberFormat="1" applyFont="1" applyFill="1" applyBorder="1" applyAlignment="1">
      <alignment horizontal="left" vertical="center"/>
    </xf>
    <xf numFmtId="173" fontId="1" fillId="2" borderId="86" xfId="1" applyNumberFormat="1" applyFont="1" applyFill="1" applyBorder="1" applyAlignment="1">
      <alignment horizontal="left" vertical="center"/>
    </xf>
    <xf numFmtId="2" fontId="1" fillId="2" borderId="84" xfId="1" applyNumberFormat="1" applyFont="1" applyFill="1" applyBorder="1" applyAlignment="1">
      <alignment horizontal="center" vertical="center"/>
    </xf>
    <xf numFmtId="167" fontId="1" fillId="2" borderId="84" xfId="1" applyNumberFormat="1" applyFont="1" applyFill="1" applyBorder="1" applyAlignment="1">
      <alignment horizontal="center" vertical="center"/>
    </xf>
    <xf numFmtId="173" fontId="1" fillId="2" borderId="83" xfId="1" applyNumberFormat="1" applyFont="1" applyFill="1" applyBorder="1" applyAlignment="1">
      <alignment horizontal="left" vertical="center"/>
    </xf>
    <xf numFmtId="173" fontId="1" fillId="2" borderId="92" xfId="1" applyNumberFormat="1" applyFont="1" applyFill="1" applyBorder="1" applyAlignment="1">
      <alignment horizontal="left" vertical="center"/>
    </xf>
    <xf numFmtId="0" fontId="1" fillId="3" borderId="4" xfId="1" applyFill="1" applyBorder="1" applyAlignment="1">
      <alignment horizontal="left" vertical="center"/>
    </xf>
    <xf numFmtId="0" fontId="1" fillId="3" borderId="8" xfId="1" applyFill="1" applyBorder="1" applyAlignment="1">
      <alignment horizontal="left" vertical="center"/>
    </xf>
    <xf numFmtId="0" fontId="1" fillId="3" borderId="5" xfId="1" applyFill="1" applyBorder="1" applyAlignment="1">
      <alignment horizontal="left" vertical="center"/>
    </xf>
    <xf numFmtId="2" fontId="1" fillId="0" borderId="0" xfId="1" applyNumberFormat="1" applyAlignment="1">
      <alignment vertical="center"/>
    </xf>
    <xf numFmtId="171" fontId="1" fillId="0" borderId="0" xfId="2" applyNumberFormat="1" applyFont="1" applyAlignment="1">
      <alignment vertical="center"/>
    </xf>
    <xf numFmtId="0" fontId="1" fillId="2" borderId="2" xfId="1" applyFill="1" applyBorder="1" applyAlignment="1">
      <alignment horizontal="center" vertical="center"/>
    </xf>
    <xf numFmtId="0" fontId="1" fillId="2" borderId="0" xfId="1" applyFill="1" applyBorder="1" applyAlignment="1">
      <alignment horizontal="center" vertical="center"/>
    </xf>
    <xf numFmtId="0" fontId="12" fillId="0" borderId="11" xfId="0" applyFont="1" applyBorder="1" applyAlignment="1">
      <alignment horizontal="center" vertical="center" wrapText="1"/>
    </xf>
    <xf numFmtId="0" fontId="12" fillId="3" borderId="11" xfId="0" applyFont="1" applyFill="1" applyBorder="1" applyAlignment="1">
      <alignment horizontal="center" vertical="center"/>
    </xf>
    <xf numFmtId="0" fontId="1" fillId="2" borderId="48" xfId="1" applyFill="1" applyBorder="1" applyAlignment="1">
      <alignment horizontal="center" vertical="center"/>
    </xf>
    <xf numFmtId="0" fontId="1" fillId="2" borderId="49" xfId="1" applyFill="1" applyBorder="1" applyAlignment="1">
      <alignment horizontal="center" vertical="center"/>
    </xf>
    <xf numFmtId="0" fontId="1" fillId="2" borderId="47" xfId="1" applyFill="1" applyBorder="1" applyAlignment="1">
      <alignment horizontal="center" vertical="center"/>
    </xf>
    <xf numFmtId="0" fontId="1" fillId="2" borderId="51" xfId="1" applyFill="1" applyBorder="1" applyAlignment="1">
      <alignment horizontal="center" vertical="center"/>
    </xf>
    <xf numFmtId="9" fontId="1" fillId="2" borderId="0" xfId="2" applyFont="1" applyFill="1" applyBorder="1" applyAlignment="1">
      <alignment horizontal="center" vertical="center"/>
    </xf>
    <xf numFmtId="0" fontId="1" fillId="3" borderId="0" xfId="1" applyFill="1" applyBorder="1" applyAlignment="1">
      <alignment horizontal="center" vertical="center"/>
    </xf>
    <xf numFmtId="0" fontId="1" fillId="3" borderId="47" xfId="1" applyFill="1" applyBorder="1" applyAlignment="1">
      <alignment horizontal="center" vertical="center"/>
    </xf>
    <xf numFmtId="0" fontId="1" fillId="3" borderId="2" xfId="1" applyFill="1" applyBorder="1" applyAlignment="1">
      <alignment horizontal="center" vertical="center"/>
    </xf>
    <xf numFmtId="0" fontId="1" fillId="3" borderId="49" xfId="1" applyFill="1" applyBorder="1" applyAlignment="1">
      <alignment horizontal="center" vertical="center"/>
    </xf>
    <xf numFmtId="0" fontId="1" fillId="3" borderId="48" xfId="1" applyFill="1" applyBorder="1" applyAlignment="1">
      <alignment horizontal="center" vertical="center"/>
    </xf>
    <xf numFmtId="0" fontId="1" fillId="3" borderId="50" xfId="1" applyFill="1" applyBorder="1" applyAlignment="1">
      <alignment horizontal="center" vertical="center"/>
    </xf>
    <xf numFmtId="0" fontId="1" fillId="3" borderId="51" xfId="1" applyFill="1" applyBorder="1" applyAlignment="1">
      <alignment horizontal="center" vertical="center"/>
    </xf>
    <xf numFmtId="0" fontId="1" fillId="4" borderId="42" xfId="1" applyFill="1" applyBorder="1" applyAlignment="1">
      <alignment horizontal="center" vertical="center"/>
    </xf>
    <xf numFmtId="0" fontId="1" fillId="4" borderId="44" xfId="1" applyFill="1" applyBorder="1" applyAlignment="1">
      <alignment horizontal="center" vertical="center"/>
    </xf>
    <xf numFmtId="0" fontId="1" fillId="4" borderId="43" xfId="1" applyFill="1" applyBorder="1" applyAlignment="1">
      <alignment horizontal="center" vertical="center"/>
    </xf>
    <xf numFmtId="0" fontId="1" fillId="4" borderId="45" xfId="1" applyFill="1" applyBorder="1" applyAlignment="1">
      <alignment horizontal="center" vertical="center"/>
    </xf>
    <xf numFmtId="0" fontId="1" fillId="4" borderId="0" xfId="1" applyFill="1" applyBorder="1" applyAlignment="1">
      <alignment horizontal="center" vertical="center"/>
    </xf>
    <xf numFmtId="0" fontId="1" fillId="4" borderId="50" xfId="1" applyFill="1" applyBorder="1" applyAlignment="1">
      <alignment horizontal="center" vertical="center"/>
    </xf>
    <xf numFmtId="0" fontId="37" fillId="2" borderId="76" xfId="3" quotePrefix="1" applyFont="1" applyFill="1" applyBorder="1" applyAlignment="1">
      <alignment horizontal="left" vertical="center" indent="1"/>
    </xf>
    <xf numFmtId="0" fontId="1" fillId="2" borderId="0" xfId="1" applyFont="1" applyFill="1" applyAlignment="1">
      <alignment horizontal="left" vertical="justify" wrapText="1"/>
    </xf>
    <xf numFmtId="0" fontId="14" fillId="2" borderId="0" xfId="3" applyFill="1" applyAlignment="1">
      <alignment horizontal="right" vertical="center"/>
    </xf>
    <xf numFmtId="0" fontId="37" fillId="2" borderId="0" xfId="3" quotePrefix="1" applyFont="1" applyFill="1" applyBorder="1" applyAlignment="1">
      <alignment vertical="center"/>
    </xf>
    <xf numFmtId="0" fontId="1" fillId="2" borderId="2" xfId="1" applyFill="1" applyBorder="1" applyAlignment="1">
      <alignment horizontal="center" vertical="center"/>
    </xf>
    <xf numFmtId="0" fontId="1" fillId="2" borderId="0" xfId="1" applyFont="1" applyFill="1" applyAlignment="1">
      <alignment horizontal="left" vertical="justify" wrapText="1"/>
    </xf>
    <xf numFmtId="0" fontId="9" fillId="2" borderId="0" xfId="1" applyFont="1" applyFill="1" applyBorder="1" applyAlignment="1">
      <alignment horizontal="right" vertical="center"/>
    </xf>
    <xf numFmtId="0" fontId="12" fillId="2" borderId="35" xfId="1" applyFont="1" applyFill="1" applyBorder="1" applyAlignment="1">
      <alignment horizontal="center" vertical="center"/>
    </xf>
    <xf numFmtId="0" fontId="1" fillId="2" borderId="0" xfId="1" applyFont="1" applyFill="1" applyAlignment="1">
      <alignment vertical="justify" wrapText="1"/>
    </xf>
    <xf numFmtId="0" fontId="1" fillId="2" borderId="0" xfId="1" applyFont="1" applyFill="1" applyAlignment="1">
      <alignment vertical="top" wrapText="1"/>
    </xf>
    <xf numFmtId="0" fontId="1" fillId="2" borderId="2" xfId="1" applyFont="1" applyFill="1" applyBorder="1" applyAlignment="1">
      <alignment horizontal="left" vertical="justify" wrapText="1"/>
    </xf>
    <xf numFmtId="0" fontId="1" fillId="2" borderId="1" xfId="1" applyFont="1" applyFill="1" applyBorder="1" applyAlignment="1">
      <alignment horizontal="left" vertical="justify" wrapText="1"/>
    </xf>
    <xf numFmtId="0" fontId="1" fillId="2" borderId="2" xfId="1" applyFont="1" applyFill="1" applyBorder="1" applyAlignment="1">
      <alignment vertical="top" wrapText="1"/>
    </xf>
    <xf numFmtId="0" fontId="1" fillId="2" borderId="1" xfId="1" applyFont="1" applyFill="1" applyBorder="1" applyAlignment="1">
      <alignment vertical="top" wrapText="1"/>
    </xf>
    <xf numFmtId="0" fontId="1" fillId="2" borderId="0" xfId="1" applyFont="1" applyFill="1" applyBorder="1" applyAlignment="1">
      <alignment vertical="justify" wrapText="1"/>
    </xf>
    <xf numFmtId="0" fontId="1" fillId="2" borderId="0" xfId="1" applyFont="1" applyFill="1" applyBorder="1" applyAlignment="1">
      <alignment vertical="top" wrapText="1"/>
    </xf>
    <xf numFmtId="0" fontId="74" fillId="2" borderId="0" xfId="1" applyFont="1" applyFill="1" applyBorder="1" applyAlignment="1">
      <alignment vertical="center"/>
    </xf>
    <xf numFmtId="0" fontId="8" fillId="7" borderId="0" xfId="1" applyFont="1" applyFill="1" applyAlignment="1">
      <alignment horizontal="center" vertical="center"/>
    </xf>
    <xf numFmtId="0" fontId="12" fillId="2" borderId="54" xfId="0" applyFont="1" applyFill="1" applyBorder="1" applyAlignment="1">
      <alignment horizontal="left" vertical="center"/>
    </xf>
    <xf numFmtId="0" fontId="12" fillId="0" borderId="54" xfId="0" applyFont="1" applyFill="1" applyBorder="1" applyAlignment="1">
      <alignment horizontal="left" vertical="center"/>
    </xf>
    <xf numFmtId="0" fontId="5" fillId="2" borderId="0" xfId="1" applyFont="1" applyFill="1" applyAlignment="1"/>
    <xf numFmtId="0" fontId="1" fillId="2" borderId="7" xfId="1" applyFill="1" applyBorder="1" applyAlignment="1">
      <alignment vertical="center"/>
    </xf>
    <xf numFmtId="0" fontId="1" fillId="2" borderId="49" xfId="1" applyFill="1" applyBorder="1" applyAlignment="1">
      <alignment vertical="center"/>
    </xf>
    <xf numFmtId="0" fontId="1" fillId="2" borderId="44" xfId="1" applyFill="1" applyBorder="1" applyAlignment="1">
      <alignment vertical="center"/>
    </xf>
    <xf numFmtId="0" fontId="1" fillId="2" borderId="102" xfId="1" applyFill="1" applyBorder="1" applyAlignment="1">
      <alignment horizontal="center" vertical="center"/>
    </xf>
    <xf numFmtId="167" fontId="0" fillId="0" borderId="94" xfId="0" applyNumberFormat="1" applyFill="1" applyBorder="1" applyAlignment="1">
      <alignment horizontal="center" vertical="center"/>
    </xf>
    <xf numFmtId="177" fontId="1" fillId="0" borderId="95" xfId="1" applyNumberFormat="1" applyFill="1" applyBorder="1" applyAlignment="1">
      <alignment horizontal="center" vertical="center"/>
    </xf>
    <xf numFmtId="173" fontId="1" fillId="0" borderId="94" xfId="1" applyNumberFormat="1" applyFill="1" applyBorder="1" applyAlignment="1">
      <alignment horizontal="left" vertical="center"/>
    </xf>
    <xf numFmtId="173" fontId="1" fillId="2" borderId="95" xfId="1" applyNumberFormat="1" applyFill="1" applyBorder="1" applyAlignment="1">
      <alignment horizontal="left" vertical="center"/>
    </xf>
    <xf numFmtId="171" fontId="1" fillId="0" borderId="94" xfId="2" applyNumberFormat="1" applyFont="1" applyFill="1" applyBorder="1" applyAlignment="1">
      <alignment horizontal="center" vertical="center"/>
    </xf>
    <xf numFmtId="0" fontId="1" fillId="0" borderId="102" xfId="1" applyFill="1" applyBorder="1" applyAlignment="1">
      <alignment horizontal="center" vertical="center"/>
    </xf>
    <xf numFmtId="0" fontId="1" fillId="0" borderId="94" xfId="1" applyFill="1" applyBorder="1" applyAlignment="1">
      <alignment horizontal="center" vertical="center"/>
    </xf>
    <xf numFmtId="173" fontId="1" fillId="0" borderId="95" xfId="1" applyNumberFormat="1" applyFill="1" applyBorder="1" applyAlignment="1">
      <alignment horizontal="left" vertical="center"/>
    </xf>
    <xf numFmtId="9" fontId="1" fillId="2" borderId="81" xfId="2" applyNumberFormat="1" applyFont="1" applyFill="1" applyBorder="1" applyAlignment="1">
      <alignment horizontal="center" vertical="center"/>
    </xf>
    <xf numFmtId="0" fontId="12" fillId="2" borderId="0" xfId="0" applyFont="1" applyFill="1" applyAlignment="1">
      <alignment horizontal="left" vertical="center" indent="1"/>
    </xf>
    <xf numFmtId="15" fontId="12" fillId="2" borderId="0" xfId="0" applyNumberFormat="1" applyFont="1" applyFill="1" applyAlignment="1">
      <alignment horizontal="left" vertical="center" indent="1"/>
    </xf>
    <xf numFmtId="0" fontId="12" fillId="2" borderId="2" xfId="0" applyFont="1" applyFill="1" applyBorder="1" applyAlignment="1">
      <alignment horizontal="left" vertical="center" indent="1"/>
    </xf>
    <xf numFmtId="0" fontId="37" fillId="2" borderId="0" xfId="1" applyFont="1" applyFill="1" applyBorder="1" applyAlignment="1">
      <alignment horizontal="center" vertical="center"/>
    </xf>
    <xf numFmtId="0" fontId="37" fillId="2" borderId="76" xfId="3" quotePrefix="1" applyFont="1" applyFill="1" applyBorder="1" applyAlignment="1">
      <alignment horizontal="left" vertical="center" indent="1"/>
    </xf>
    <xf numFmtId="0" fontId="37" fillId="2" borderId="9" xfId="1" applyFont="1" applyFill="1" applyBorder="1" applyAlignment="1">
      <alignment horizontal="center" vertical="center"/>
    </xf>
    <xf numFmtId="0" fontId="37" fillId="2" borderId="10" xfId="1" applyFont="1" applyFill="1" applyBorder="1" applyAlignment="1">
      <alignment horizontal="center" vertical="center"/>
    </xf>
    <xf numFmtId="0" fontId="37" fillId="2" borderId="101" xfId="3" quotePrefix="1" applyFont="1" applyFill="1" applyBorder="1" applyAlignment="1">
      <alignment horizontal="left" vertical="center" indent="1"/>
    </xf>
    <xf numFmtId="0" fontId="37" fillId="2" borderId="0" xfId="3" quotePrefix="1" applyFont="1" applyFill="1" applyBorder="1" applyAlignment="1">
      <alignment horizontal="left" vertical="center" indent="1"/>
    </xf>
    <xf numFmtId="0" fontId="1" fillId="2" borderId="2" xfId="1" applyFill="1" applyBorder="1" applyAlignment="1">
      <alignment horizontal="center" vertical="center"/>
    </xf>
    <xf numFmtId="0" fontId="1" fillId="2" borderId="0" xfId="1" applyFont="1" applyFill="1" applyAlignment="1">
      <alignment vertical="top" wrapText="1"/>
    </xf>
    <xf numFmtId="0" fontId="8" fillId="2" borderId="0" xfId="1" applyFont="1" applyFill="1" applyAlignment="1">
      <alignment horizontal="left" vertical="center"/>
    </xf>
    <xf numFmtId="0" fontId="1" fillId="2" borderId="0" xfId="1" applyFont="1" applyFill="1" applyBorder="1" applyAlignment="1">
      <alignment horizontal="left" vertical="top" wrapText="1"/>
    </xf>
    <xf numFmtId="0" fontId="12" fillId="2" borderId="35" xfId="0" applyFont="1" applyFill="1" applyBorder="1" applyAlignment="1">
      <alignment horizontal="left" vertical="center"/>
    </xf>
    <xf numFmtId="0" fontId="12" fillId="2" borderId="36" xfId="0" applyFont="1" applyFill="1" applyBorder="1" applyAlignment="1">
      <alignment horizontal="left" vertical="center"/>
    </xf>
    <xf numFmtId="0" fontId="12" fillId="2" borderId="38" xfId="0" applyFont="1" applyFill="1" applyBorder="1" applyAlignment="1">
      <alignment horizontal="left" vertical="center"/>
    </xf>
    <xf numFmtId="171" fontId="1" fillId="2" borderId="68" xfId="2" applyNumberFormat="1" applyFont="1" applyFill="1" applyBorder="1" applyAlignment="1">
      <alignment horizontal="center" vertical="center"/>
    </xf>
    <xf numFmtId="171" fontId="1" fillId="2" borderId="69" xfId="2" applyNumberFormat="1" applyFont="1" applyFill="1" applyBorder="1" applyAlignment="1">
      <alignment horizontal="center" vertical="center"/>
    </xf>
    <xf numFmtId="0" fontId="1" fillId="2" borderId="0" xfId="1" applyFont="1" applyFill="1" applyAlignment="1">
      <alignment horizontal="left" vertical="justify" wrapText="1"/>
    </xf>
    <xf numFmtId="0" fontId="1" fillId="2" borderId="0" xfId="1" applyFont="1" applyFill="1" applyAlignment="1">
      <alignment horizontal="left" vertical="justify"/>
    </xf>
    <xf numFmtId="0" fontId="39" fillId="2" borderId="50" xfId="1" applyFont="1" applyFill="1" applyBorder="1" applyAlignment="1">
      <alignment horizontal="left" vertical="center"/>
    </xf>
    <xf numFmtId="0" fontId="5" fillId="2" borderId="29" xfId="1" applyFont="1" applyFill="1" applyBorder="1" applyAlignment="1">
      <alignment horizontal="left" vertical="center"/>
    </xf>
    <xf numFmtId="0" fontId="5" fillId="2" borderId="30" xfId="1" applyFont="1" applyFill="1" applyBorder="1" applyAlignment="1">
      <alignment horizontal="left" vertical="center"/>
    </xf>
    <xf numFmtId="0" fontId="5" fillId="2" borderId="31" xfId="1" applyFont="1" applyFill="1" applyBorder="1" applyAlignment="1">
      <alignment horizontal="left" vertical="center"/>
    </xf>
    <xf numFmtId="0" fontId="5" fillId="2" borderId="66" xfId="1" applyFont="1" applyFill="1" applyBorder="1" applyAlignment="1">
      <alignment horizontal="center" vertical="center"/>
    </xf>
    <xf numFmtId="0" fontId="5" fillId="2" borderId="65" xfId="1" applyFont="1" applyFill="1" applyBorder="1" applyAlignment="1">
      <alignment horizontal="center" vertical="center"/>
    </xf>
    <xf numFmtId="0" fontId="12" fillId="2" borderId="24" xfId="0" applyFont="1" applyFill="1" applyBorder="1" applyAlignment="1">
      <alignment horizontal="left" vertical="center"/>
    </xf>
    <xf numFmtId="0" fontId="12" fillId="2" borderId="14" xfId="0" applyFont="1" applyFill="1" applyBorder="1" applyAlignment="1">
      <alignment horizontal="left" vertical="center"/>
    </xf>
    <xf numFmtId="0" fontId="12" fillId="2" borderId="25" xfId="0" applyFont="1" applyFill="1" applyBorder="1" applyAlignment="1">
      <alignment horizontal="left" vertical="center"/>
    </xf>
    <xf numFmtId="9" fontId="1" fillId="2" borderId="58" xfId="2" applyFont="1" applyFill="1" applyBorder="1" applyAlignment="1">
      <alignment horizontal="center" vertical="center"/>
    </xf>
    <xf numFmtId="9" fontId="1" fillId="2" borderId="59" xfId="2" applyFont="1" applyFill="1" applyBorder="1" applyAlignment="1">
      <alignment horizontal="center" vertical="center"/>
    </xf>
    <xf numFmtId="0" fontId="20" fillId="2" borderId="0" xfId="1" applyFont="1" applyFill="1" applyBorder="1" applyAlignment="1">
      <alignment horizontal="right" vertical="center"/>
    </xf>
    <xf numFmtId="0" fontId="20" fillId="2" borderId="41" xfId="1" applyFont="1" applyFill="1" applyBorder="1" applyAlignment="1">
      <alignment horizontal="right" vertical="center"/>
    </xf>
    <xf numFmtId="0" fontId="12" fillId="2" borderId="18"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19" xfId="0" applyFont="1" applyFill="1" applyBorder="1" applyAlignment="1">
      <alignment horizontal="left" vertical="center"/>
    </xf>
    <xf numFmtId="9" fontId="1" fillId="2" borderId="54" xfId="2" applyFont="1" applyFill="1" applyBorder="1" applyAlignment="1">
      <alignment horizontal="center" vertical="center"/>
    </xf>
    <xf numFmtId="9" fontId="1" fillId="2" borderId="72" xfId="2" applyFont="1" applyFill="1" applyBorder="1" applyAlignment="1">
      <alignment horizontal="center" vertical="center"/>
    </xf>
    <xf numFmtId="0" fontId="7" fillId="3" borderId="3" xfId="1" applyFont="1" applyFill="1" applyBorder="1" applyAlignment="1">
      <alignment horizontal="left" vertical="top" wrapText="1"/>
    </xf>
    <xf numFmtId="0" fontId="7" fillId="3" borderId="1" xfId="1" applyFont="1" applyFill="1" applyBorder="1" applyAlignment="1">
      <alignment horizontal="left" vertical="top" wrapText="1"/>
    </xf>
    <xf numFmtId="0" fontId="7" fillId="3" borderId="4" xfId="1" applyFont="1" applyFill="1" applyBorder="1" applyAlignment="1">
      <alignment horizontal="left" vertical="top" wrapText="1"/>
    </xf>
    <xf numFmtId="0" fontId="7" fillId="3" borderId="7" xfId="1" applyFont="1" applyFill="1" applyBorder="1" applyAlignment="1">
      <alignment horizontal="left" vertical="top" wrapText="1"/>
    </xf>
    <xf numFmtId="0" fontId="7" fillId="3" borderId="0" xfId="1" applyFont="1" applyFill="1" applyBorder="1" applyAlignment="1">
      <alignment horizontal="left" vertical="top" wrapText="1"/>
    </xf>
    <xf numFmtId="0" fontId="7" fillId="3" borderId="8" xfId="1" applyFont="1" applyFill="1" applyBorder="1" applyAlignment="1">
      <alignment horizontal="left" vertical="top" wrapText="1"/>
    </xf>
    <xf numFmtId="0" fontId="7" fillId="3" borderId="6" xfId="1" applyFont="1" applyFill="1" applyBorder="1" applyAlignment="1">
      <alignment horizontal="left" vertical="top" wrapText="1"/>
    </xf>
    <xf numFmtId="0" fontId="7" fillId="3" borderId="2" xfId="1" applyFont="1" applyFill="1" applyBorder="1" applyAlignment="1">
      <alignment horizontal="left" vertical="top" wrapText="1"/>
    </xf>
    <xf numFmtId="0" fontId="7" fillId="3" borderId="5" xfId="1" applyFont="1" applyFill="1" applyBorder="1" applyAlignment="1">
      <alignment horizontal="left" vertical="top" wrapText="1"/>
    </xf>
    <xf numFmtId="0" fontId="8" fillId="2" borderId="2" xfId="1" applyFont="1" applyFill="1" applyBorder="1" applyAlignment="1">
      <alignment horizontal="left"/>
    </xf>
    <xf numFmtId="0" fontId="2" fillId="2" borderId="0" xfId="1" applyFont="1" applyFill="1" applyBorder="1" applyAlignment="1">
      <alignment horizontal="left" vertical="center"/>
    </xf>
    <xf numFmtId="0" fontId="3" fillId="3" borderId="32" xfId="1" applyFont="1" applyFill="1" applyBorder="1" applyAlignment="1">
      <alignment horizontal="left" vertical="center"/>
    </xf>
    <xf numFmtId="0" fontId="3" fillId="3" borderId="54" xfId="1" applyFont="1" applyFill="1" applyBorder="1" applyAlignment="1">
      <alignment horizontal="left" vertical="center"/>
    </xf>
    <xf numFmtId="0" fontId="3" fillId="3" borderId="53" xfId="1" applyFont="1" applyFill="1" applyBorder="1" applyAlignment="1">
      <alignment horizontal="left" vertical="center"/>
    </xf>
    <xf numFmtId="0" fontId="1" fillId="3" borderId="32" xfId="1" applyFill="1" applyBorder="1" applyAlignment="1">
      <alignment horizontal="center" vertical="center"/>
    </xf>
    <xf numFmtId="0" fontId="1" fillId="3" borderId="53" xfId="1" applyFill="1" applyBorder="1" applyAlignment="1">
      <alignment horizontal="center" vertical="center"/>
    </xf>
    <xf numFmtId="0" fontId="1" fillId="3" borderId="32" xfId="1" applyFill="1" applyBorder="1" applyAlignment="1">
      <alignment horizontal="left" vertical="center"/>
    </xf>
    <xf numFmtId="0" fontId="1" fillId="3" borderId="53" xfId="1" applyFill="1" applyBorder="1" applyAlignment="1">
      <alignment horizontal="left" vertical="center"/>
    </xf>
    <xf numFmtId="0" fontId="1" fillId="2" borderId="0" xfId="1" applyFill="1" applyBorder="1" applyAlignment="1">
      <alignment horizontal="center" vertical="center"/>
    </xf>
    <xf numFmtId="0" fontId="8" fillId="2" borderId="0" xfId="1" applyFont="1" applyFill="1" applyBorder="1" applyAlignment="1">
      <alignment horizontal="left" vertical="center"/>
    </xf>
    <xf numFmtId="0" fontId="12" fillId="3" borderId="32" xfId="0" applyFont="1" applyFill="1" applyBorder="1" applyAlignment="1">
      <alignment horizontal="left" vertical="center"/>
    </xf>
    <xf numFmtId="0" fontId="12" fillId="3" borderId="53" xfId="0" applyFont="1" applyFill="1" applyBorder="1" applyAlignment="1">
      <alignment horizontal="left" vertical="center"/>
    </xf>
    <xf numFmtId="0" fontId="9" fillId="0" borderId="32" xfId="0" applyFont="1" applyFill="1" applyBorder="1" applyAlignment="1" applyProtection="1">
      <alignment horizontal="center" vertical="center" wrapText="1"/>
    </xf>
    <xf numFmtId="0" fontId="9" fillId="0" borderId="53"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12" fillId="3" borderId="11" xfId="0" applyFont="1" applyFill="1" applyBorder="1" applyAlignment="1">
      <alignment horizontal="center" vertical="center"/>
    </xf>
    <xf numFmtId="0" fontId="12" fillId="0" borderId="11" xfId="0" applyFont="1" applyFill="1" applyBorder="1" applyAlignment="1">
      <alignment horizontal="center" vertical="center"/>
    </xf>
    <xf numFmtId="0" fontId="68" fillId="0" borderId="11" xfId="0" applyFont="1" applyFill="1" applyBorder="1" applyAlignment="1" applyProtection="1">
      <alignment horizontal="right" vertical="center" wrapText="1"/>
    </xf>
    <xf numFmtId="164" fontId="12" fillId="2" borderId="11" xfId="0" applyNumberFormat="1" applyFont="1" applyFill="1" applyBorder="1" applyAlignment="1">
      <alignment horizontal="center" vertical="center"/>
    </xf>
    <xf numFmtId="2" fontId="12" fillId="2" borderId="11" xfId="0" applyNumberFormat="1" applyFont="1" applyFill="1" applyBorder="1" applyAlignment="1">
      <alignment horizontal="center" vertical="center"/>
    </xf>
    <xf numFmtId="0" fontId="12" fillId="2" borderId="11" xfId="0" applyFont="1" applyFill="1" applyBorder="1" applyAlignment="1">
      <alignment horizontal="center" vertical="center"/>
    </xf>
    <xf numFmtId="0" fontId="12" fillId="3" borderId="32" xfId="0" applyFont="1" applyFill="1" applyBorder="1" applyAlignment="1">
      <alignment horizontal="center" vertical="center"/>
    </xf>
    <xf numFmtId="0" fontId="12" fillId="3" borderId="54" xfId="0" applyFont="1" applyFill="1" applyBorder="1" applyAlignment="1">
      <alignment horizontal="center" vertical="center"/>
    </xf>
    <xf numFmtId="0" fontId="12" fillId="3" borderId="53" xfId="0" applyFont="1" applyFill="1" applyBorder="1" applyAlignment="1">
      <alignment horizontal="center" vertical="center"/>
    </xf>
    <xf numFmtId="0" fontId="9" fillId="0" borderId="54"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wrapText="1"/>
    </xf>
    <xf numFmtId="0" fontId="6" fillId="2" borderId="7" xfId="0" applyFont="1" applyFill="1" applyBorder="1" applyAlignment="1">
      <alignment horizontal="left"/>
    </xf>
    <xf numFmtId="0" fontId="6" fillId="2" borderId="8" xfId="0" applyFont="1" applyFill="1" applyBorder="1" applyAlignment="1">
      <alignment horizontal="left"/>
    </xf>
    <xf numFmtId="0" fontId="6" fillId="2" borderId="6" xfId="0" applyFont="1" applyFill="1" applyBorder="1" applyAlignment="1">
      <alignment horizontal="left"/>
    </xf>
    <xf numFmtId="0" fontId="6" fillId="2" borderId="5" xfId="0" applyFont="1" applyFill="1" applyBorder="1" applyAlignment="1">
      <alignment horizontal="left"/>
    </xf>
    <xf numFmtId="0" fontId="50" fillId="0" borderId="32" xfId="0" applyFont="1" applyFill="1" applyBorder="1" applyAlignment="1">
      <alignment horizontal="left"/>
    </xf>
    <xf numFmtId="0" fontId="50" fillId="0" borderId="54" xfId="0" applyFont="1" applyFill="1" applyBorder="1" applyAlignment="1">
      <alignment horizontal="left"/>
    </xf>
    <xf numFmtId="0" fontId="1" fillId="0" borderId="11" xfId="0" applyFont="1" applyFill="1" applyBorder="1" applyAlignment="1" applyProtection="1">
      <alignment horizontal="left" vertical="center" wrapText="1"/>
    </xf>
    <xf numFmtId="0" fontId="22" fillId="0" borderId="32" xfId="0" applyFont="1" applyBorder="1" applyAlignment="1">
      <alignment horizontal="center" vertical="center"/>
    </xf>
    <xf numFmtId="0" fontId="22" fillId="0" borderId="53" xfId="0" applyFont="1" applyBorder="1" applyAlignment="1">
      <alignment horizontal="center" vertical="center"/>
    </xf>
    <xf numFmtId="0" fontId="12" fillId="3" borderId="12"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6" xfId="0" applyFont="1" applyFill="1" applyBorder="1" applyAlignment="1">
      <alignment horizontal="left" vertical="center"/>
    </xf>
    <xf numFmtId="0" fontId="12" fillId="3" borderId="5" xfId="0" applyFont="1" applyFill="1" applyBorder="1" applyAlignment="1">
      <alignment horizontal="left" vertical="center"/>
    </xf>
    <xf numFmtId="0" fontId="6" fillId="2" borderId="0" xfId="0" applyFont="1" applyFill="1" applyBorder="1" applyAlignment="1">
      <alignment horizontal="left"/>
    </xf>
    <xf numFmtId="0" fontId="12" fillId="4" borderId="3" xfId="0" applyFont="1" applyFill="1" applyBorder="1" applyAlignment="1">
      <alignment horizontal="left" vertical="center"/>
    </xf>
    <xf numFmtId="0" fontId="12" fillId="4" borderId="1" xfId="0" applyFont="1" applyFill="1" applyBorder="1" applyAlignment="1">
      <alignment horizontal="left" vertical="center"/>
    </xf>
    <xf numFmtId="0" fontId="12" fillId="4" borderId="4" xfId="0" applyFont="1" applyFill="1" applyBorder="1" applyAlignment="1">
      <alignment horizontal="left" vertical="center"/>
    </xf>
    <xf numFmtId="0" fontId="12" fillId="4" borderId="6" xfId="0" applyFont="1" applyFill="1" applyBorder="1" applyAlignment="1">
      <alignment horizontal="left" vertical="center"/>
    </xf>
    <xf numFmtId="0" fontId="12" fillId="4" borderId="2" xfId="0" applyFont="1" applyFill="1" applyBorder="1" applyAlignment="1">
      <alignment horizontal="left" vertical="center"/>
    </xf>
    <xf numFmtId="0" fontId="12" fillId="4" borderId="5" xfId="0" applyFont="1" applyFill="1" applyBorder="1" applyAlignment="1">
      <alignment horizontal="left" vertical="center"/>
    </xf>
    <xf numFmtId="0" fontId="50" fillId="0" borderId="32" xfId="0" applyFont="1" applyBorder="1" applyAlignment="1">
      <alignment horizontal="right" vertical="center"/>
    </xf>
    <xf numFmtId="0" fontId="50" fillId="0" borderId="54" xfId="0" applyFont="1" applyBorder="1" applyAlignment="1">
      <alignment horizontal="right" vertical="center"/>
    </xf>
    <xf numFmtId="0" fontId="50" fillId="0" borderId="53" xfId="0" applyFont="1" applyBorder="1" applyAlignment="1">
      <alignment horizontal="right" vertical="center"/>
    </xf>
    <xf numFmtId="1" fontId="50" fillId="6" borderId="32" xfId="0" applyNumberFormat="1" applyFont="1" applyFill="1" applyBorder="1" applyAlignment="1">
      <alignment horizontal="center" vertical="center"/>
    </xf>
    <xf numFmtId="0" fontId="50" fillId="6" borderId="54" xfId="0" applyFont="1" applyFill="1" applyBorder="1" applyAlignment="1">
      <alignment horizontal="center" vertical="center"/>
    </xf>
    <xf numFmtId="0" fontId="50" fillId="6" borderId="53" xfId="0" applyFont="1" applyFill="1" applyBorder="1" applyAlignment="1">
      <alignment horizontal="center" vertical="center"/>
    </xf>
    <xf numFmtId="0" fontId="50" fillId="0" borderId="53" xfId="0" applyFont="1" applyFill="1" applyBorder="1" applyAlignment="1">
      <alignment horizontal="left"/>
    </xf>
    <xf numFmtId="9" fontId="50" fillId="0" borderId="32" xfId="0" applyNumberFormat="1" applyFont="1" applyFill="1" applyBorder="1" applyAlignment="1">
      <alignment horizontal="left"/>
    </xf>
    <xf numFmtId="9" fontId="50" fillId="0" borderId="53" xfId="0" applyNumberFormat="1" applyFont="1" applyFill="1" applyBorder="1" applyAlignment="1">
      <alignment horizontal="left"/>
    </xf>
    <xf numFmtId="1" fontId="69" fillId="2" borderId="7" xfId="0" applyNumberFormat="1" applyFont="1" applyFill="1" applyBorder="1" applyAlignment="1">
      <alignment horizontal="center" vertical="center"/>
    </xf>
    <xf numFmtId="1" fontId="12" fillId="0" borderId="11" xfId="0" applyNumberFormat="1" applyFont="1" applyBorder="1" applyAlignment="1">
      <alignment horizontal="center" vertical="center" wrapText="1"/>
    </xf>
    <xf numFmtId="0" fontId="12" fillId="0" borderId="11" xfId="0" applyFont="1" applyBorder="1" applyAlignment="1">
      <alignment horizontal="center" vertical="center" wrapText="1"/>
    </xf>
    <xf numFmtId="172" fontId="1" fillId="2" borderId="13" xfId="1" applyNumberFormat="1" applyFont="1" applyFill="1" applyBorder="1" applyAlignment="1">
      <alignment horizontal="center" vertical="center"/>
    </xf>
    <xf numFmtId="172" fontId="1" fillId="2" borderId="7" xfId="1" applyNumberFormat="1" applyFont="1" applyFill="1" applyBorder="1" applyAlignment="1">
      <alignment horizontal="center" vertical="center"/>
    </xf>
    <xf numFmtId="0" fontId="1" fillId="2" borderId="0" xfId="1" applyFont="1" applyFill="1" applyBorder="1" applyAlignment="1">
      <alignment horizontal="center" vertical="center"/>
    </xf>
    <xf numFmtId="0" fontId="12" fillId="2" borderId="0" xfId="0" applyFont="1" applyFill="1" applyBorder="1" applyAlignment="1">
      <alignment horizontal="center" vertical="center"/>
    </xf>
    <xf numFmtId="0" fontId="1" fillId="3" borderId="11" xfId="0" applyFont="1" applyFill="1" applyBorder="1" applyAlignment="1">
      <alignment horizontal="center" vertical="center"/>
    </xf>
    <xf numFmtId="0" fontId="1" fillId="2" borderId="0" xfId="0" applyFont="1" applyFill="1" applyAlignment="1">
      <alignment horizontal="center" vertical="center"/>
    </xf>
    <xf numFmtId="0" fontId="5" fillId="3" borderId="11" xfId="0" applyFont="1" applyFill="1" applyBorder="1" applyAlignment="1">
      <alignment horizontal="center" vertical="center"/>
    </xf>
    <xf numFmtId="9" fontId="1" fillId="2" borderId="0" xfId="2" applyFont="1" applyFill="1" applyAlignment="1">
      <alignment horizontal="center" vertical="center"/>
    </xf>
    <xf numFmtId="0" fontId="10" fillId="2" borderId="0" xfId="1" applyFont="1" applyFill="1" applyBorder="1" applyAlignment="1">
      <alignment horizontal="center" vertical="center"/>
    </xf>
    <xf numFmtId="0" fontId="1" fillId="2" borderId="0" xfId="1" applyFont="1" applyFill="1" applyAlignment="1">
      <alignment horizontal="center" vertical="center"/>
    </xf>
    <xf numFmtId="0" fontId="1" fillId="0" borderId="0" xfId="0" applyFont="1" applyFill="1" applyAlignment="1">
      <alignment horizontal="center" vertical="center"/>
    </xf>
    <xf numFmtId="167" fontId="1" fillId="2" borderId="0" xfId="1" applyNumberFormat="1" applyFont="1" applyFill="1" applyAlignment="1">
      <alignment horizontal="center" vertical="center"/>
    </xf>
    <xf numFmtId="0" fontId="1" fillId="2" borderId="0" xfId="1" applyFont="1" applyFill="1" applyAlignment="1">
      <alignment horizontal="center" vertical="center" wrapText="1"/>
    </xf>
    <xf numFmtId="172" fontId="1" fillId="0" borderId="0" xfId="1" applyNumberFormat="1" applyFont="1" applyFill="1" applyAlignment="1">
      <alignment horizontal="center" vertical="center"/>
    </xf>
    <xf numFmtId="0" fontId="10" fillId="2" borderId="0" xfId="1" applyFont="1" applyFill="1" applyAlignment="1">
      <alignment horizontal="center" vertical="center"/>
    </xf>
    <xf numFmtId="2" fontId="1" fillId="2" borderId="0" xfId="1" applyNumberFormat="1" applyFont="1" applyFill="1" applyBorder="1" applyAlignment="1">
      <alignment horizontal="center" vertical="center"/>
    </xf>
    <xf numFmtId="2" fontId="1" fillId="2" borderId="0" xfId="1" applyNumberFormat="1" applyFont="1" applyFill="1" applyAlignment="1">
      <alignment horizontal="center" vertical="center"/>
    </xf>
    <xf numFmtId="10" fontId="1" fillId="3" borderId="32" xfId="1" applyNumberFormat="1" applyFont="1" applyFill="1" applyBorder="1" applyAlignment="1">
      <alignment horizontal="center" vertical="center"/>
    </xf>
    <xf numFmtId="10" fontId="1" fillId="3" borderId="53" xfId="1" applyNumberFormat="1" applyFont="1" applyFill="1" applyBorder="1" applyAlignment="1">
      <alignment horizontal="center" vertical="center"/>
    </xf>
    <xf numFmtId="9" fontId="1" fillId="3" borderId="32" xfId="2" applyNumberFormat="1" applyFont="1" applyFill="1" applyBorder="1" applyAlignment="1">
      <alignment horizontal="center" vertical="center"/>
    </xf>
    <xf numFmtId="9" fontId="1" fillId="3" borderId="53" xfId="2" applyNumberFormat="1" applyFont="1" applyFill="1" applyBorder="1" applyAlignment="1">
      <alignment horizontal="center" vertical="center"/>
    </xf>
    <xf numFmtId="0" fontId="1" fillId="3" borderId="32" xfId="1" applyFont="1" applyFill="1" applyBorder="1" applyAlignment="1">
      <alignment horizontal="center" vertical="center"/>
    </xf>
    <xf numFmtId="0" fontId="1" fillId="3" borderId="53" xfId="1" applyFont="1" applyFill="1" applyBorder="1" applyAlignment="1">
      <alignment horizontal="center" vertical="center"/>
    </xf>
    <xf numFmtId="172" fontId="1" fillId="2" borderId="0" xfId="1" applyNumberFormat="1" applyFont="1" applyFill="1" applyAlignment="1">
      <alignment horizontal="center" vertical="center"/>
    </xf>
    <xf numFmtId="171" fontId="1" fillId="3" borderId="32" xfId="1" applyNumberFormat="1" applyFont="1" applyFill="1" applyBorder="1" applyAlignment="1">
      <alignment horizontal="center" vertical="center"/>
    </xf>
    <xf numFmtId="171" fontId="1" fillId="3" borderId="53" xfId="1" applyNumberFormat="1" applyFont="1" applyFill="1" applyBorder="1" applyAlignment="1">
      <alignment horizontal="center" vertical="center"/>
    </xf>
    <xf numFmtId="0" fontId="50" fillId="2" borderId="0" xfId="0" applyFont="1" applyFill="1" applyAlignment="1">
      <alignment horizontal="center"/>
    </xf>
    <xf numFmtId="169" fontId="1" fillId="2" borderId="0" xfId="1" applyNumberFormat="1" applyFont="1" applyFill="1" applyAlignment="1">
      <alignment horizontal="center" vertical="center"/>
    </xf>
    <xf numFmtId="0" fontId="12" fillId="0" borderId="0" xfId="0" applyFont="1" applyFill="1" applyBorder="1" applyAlignment="1">
      <alignment horizontal="left"/>
    </xf>
    <xf numFmtId="164" fontId="1" fillId="3" borderId="32" xfId="1" applyNumberFormat="1" applyFont="1" applyFill="1" applyBorder="1" applyAlignment="1">
      <alignment horizontal="center" vertical="center"/>
    </xf>
    <xf numFmtId="164" fontId="1" fillId="3" borderId="53" xfId="1" applyNumberFormat="1" applyFont="1" applyFill="1" applyBorder="1" applyAlignment="1">
      <alignment horizontal="center" vertical="center"/>
    </xf>
    <xf numFmtId="0" fontId="1" fillId="3" borderId="32" xfId="1" applyNumberFormat="1" applyFont="1" applyFill="1" applyBorder="1" applyAlignment="1">
      <alignment horizontal="center" vertical="center"/>
    </xf>
    <xf numFmtId="0" fontId="1" fillId="3" borderId="53" xfId="1" applyNumberFormat="1" applyFont="1" applyFill="1" applyBorder="1" applyAlignment="1">
      <alignment horizontal="center" vertical="center"/>
    </xf>
    <xf numFmtId="0" fontId="16" fillId="2" borderId="0" xfId="1" applyFont="1" applyFill="1" applyAlignment="1">
      <alignment horizontal="center" vertical="center"/>
    </xf>
    <xf numFmtId="182" fontId="1" fillId="2" borderId="0" xfId="5" applyNumberFormat="1" applyFont="1" applyFill="1" applyAlignment="1">
      <alignment horizontal="left" vertical="center"/>
    </xf>
    <xf numFmtId="0" fontId="9" fillId="2" borderId="62" xfId="0" applyFont="1" applyFill="1" applyBorder="1" applyAlignment="1">
      <alignment horizontal="center" vertical="center"/>
    </xf>
    <xf numFmtId="0" fontId="9" fillId="2" borderId="51" xfId="0" applyFont="1" applyFill="1" applyBorder="1" applyAlignment="1">
      <alignment horizontal="center" vertical="center"/>
    </xf>
    <xf numFmtId="0" fontId="10" fillId="2" borderId="50" xfId="1" applyFont="1" applyFill="1" applyBorder="1" applyAlignment="1">
      <alignment horizontal="left" vertical="center"/>
    </xf>
    <xf numFmtId="0" fontId="9" fillId="2" borderId="60" xfId="0" applyFont="1" applyFill="1" applyBorder="1" applyAlignment="1">
      <alignment horizontal="center" vertical="center"/>
    </xf>
    <xf numFmtId="0" fontId="9" fillId="2" borderId="67"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36" xfId="0" applyFont="1" applyFill="1" applyBorder="1" applyAlignment="1">
      <alignment horizontal="center" vertical="center"/>
    </xf>
    <xf numFmtId="0" fontId="9" fillId="2" borderId="0" xfId="1" applyFont="1" applyFill="1" applyBorder="1" applyAlignment="1">
      <alignment horizontal="right" vertical="center"/>
    </xf>
    <xf numFmtId="0" fontId="10" fillId="2" borderId="0" xfId="1" applyFont="1" applyFill="1" applyAlignment="1">
      <alignment horizontal="left" vertical="center"/>
    </xf>
    <xf numFmtId="0" fontId="5" fillId="2" borderId="41" xfId="0" applyFont="1" applyFill="1" applyBorder="1" applyAlignment="1">
      <alignment horizontal="right" vertical="center"/>
    </xf>
    <xf numFmtId="0" fontId="1" fillId="2" borderId="0" xfId="0" applyFont="1" applyFill="1" applyBorder="1" applyAlignment="1">
      <alignment horizontal="right" vertical="center"/>
    </xf>
    <xf numFmtId="0" fontId="5" fillId="2" borderId="0" xfId="0" applyFont="1" applyFill="1" applyBorder="1" applyAlignment="1">
      <alignment horizontal="right" vertical="center"/>
    </xf>
    <xf numFmtId="0" fontId="9" fillId="2" borderId="73" xfId="1" applyFont="1" applyFill="1" applyBorder="1" applyAlignment="1">
      <alignment horizontal="center" vertical="center" wrapText="1"/>
    </xf>
    <xf numFmtId="0" fontId="9" fillId="2" borderId="75" xfId="1" applyFont="1" applyFill="1" applyBorder="1" applyAlignment="1">
      <alignment horizontal="center" vertical="center" wrapText="1"/>
    </xf>
    <xf numFmtId="0" fontId="9" fillId="2" borderId="40" xfId="1" applyFont="1" applyFill="1" applyBorder="1" applyAlignment="1">
      <alignment horizontal="center" vertical="center" wrapText="1"/>
    </xf>
    <xf numFmtId="0" fontId="9" fillId="2" borderId="46" xfId="1" applyFont="1" applyFill="1" applyBorder="1" applyAlignment="1">
      <alignment horizontal="center" vertical="center" wrapText="1"/>
    </xf>
    <xf numFmtId="0" fontId="9" fillId="2" borderId="77" xfId="1" applyFont="1" applyFill="1" applyBorder="1" applyAlignment="1">
      <alignment horizontal="center" vertical="center" wrapText="1"/>
    </xf>
    <xf numFmtId="0" fontId="9" fillId="2" borderId="27" xfId="1" applyFont="1" applyFill="1" applyBorder="1" applyAlignment="1">
      <alignment horizontal="center" vertical="center" wrapText="1"/>
    </xf>
    <xf numFmtId="0" fontId="9" fillId="2" borderId="41"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63" fillId="2" borderId="61" xfId="1" applyFont="1" applyFill="1" applyBorder="1" applyAlignment="1">
      <alignment horizontal="center" vertical="center"/>
    </xf>
    <xf numFmtId="0" fontId="63" fillId="2" borderId="26" xfId="1" applyFont="1" applyFill="1" applyBorder="1" applyAlignment="1">
      <alignment horizontal="center" vertical="center"/>
    </xf>
    <xf numFmtId="0" fontId="63" fillId="2" borderId="60" xfId="0" applyFont="1" applyFill="1" applyBorder="1" applyAlignment="1">
      <alignment horizontal="center" vertical="center"/>
    </xf>
    <xf numFmtId="0" fontId="63" fillId="2" borderId="58" xfId="0" applyFont="1" applyFill="1" applyBorder="1" applyAlignment="1">
      <alignment horizontal="center" vertical="center"/>
    </xf>
    <xf numFmtId="0" fontId="63" fillId="2" borderId="59" xfId="0" applyFont="1" applyFill="1" applyBorder="1" applyAlignment="1">
      <alignment horizontal="center" vertical="center"/>
    </xf>
    <xf numFmtId="0" fontId="63" fillId="2" borderId="52" xfId="0" applyFont="1" applyFill="1" applyBorder="1" applyAlignment="1">
      <alignment horizontal="center" vertical="center"/>
    </xf>
    <xf numFmtId="0" fontId="63" fillId="2" borderId="28" xfId="0" applyFont="1" applyFill="1" applyBorder="1" applyAlignment="1">
      <alignment horizontal="center" vertical="center"/>
    </xf>
    <xf numFmtId="0" fontId="9" fillId="2" borderId="67" xfId="0" applyFont="1" applyFill="1" applyBorder="1" applyAlignment="1">
      <alignment horizontal="right" vertical="center" indent="1"/>
    </xf>
    <xf numFmtId="0" fontId="9" fillId="2" borderId="68" xfId="0" applyFont="1" applyFill="1" applyBorder="1" applyAlignment="1">
      <alignment horizontal="right" vertical="center" indent="1"/>
    </xf>
    <xf numFmtId="0" fontId="9" fillId="2" borderId="6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0" borderId="15" xfId="1" applyFont="1" applyBorder="1" applyAlignment="1">
      <alignment horizontal="center" vertical="center"/>
    </xf>
    <xf numFmtId="0" fontId="9" fillId="0" borderId="17" xfId="1" applyFont="1" applyBorder="1" applyAlignment="1">
      <alignment horizontal="center" vertical="center"/>
    </xf>
    <xf numFmtId="0" fontId="9" fillId="2" borderId="19"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15" xfId="1" applyFont="1" applyFill="1" applyBorder="1" applyAlignment="1">
      <alignment horizontal="left" vertical="center"/>
    </xf>
    <xf numFmtId="0" fontId="9" fillId="2" borderId="18" xfId="1" applyFont="1" applyFill="1" applyBorder="1" applyAlignment="1">
      <alignment horizontal="left" vertical="center"/>
    </xf>
    <xf numFmtId="0" fontId="9" fillId="2" borderId="35" xfId="1" applyFont="1" applyFill="1" applyBorder="1" applyAlignment="1">
      <alignment horizontal="left" vertical="center"/>
    </xf>
    <xf numFmtId="0" fontId="9" fillId="2" borderId="63" xfId="0" applyFont="1" applyFill="1" applyBorder="1" applyAlignment="1">
      <alignment horizontal="center" vertical="center"/>
    </xf>
    <xf numFmtId="0" fontId="9" fillId="2" borderId="66" xfId="0" applyFont="1" applyFill="1" applyBorder="1" applyAlignment="1">
      <alignment horizontal="center" vertical="center"/>
    </xf>
    <xf numFmtId="0" fontId="9" fillId="2" borderId="71" xfId="0" applyFont="1" applyFill="1" applyBorder="1" applyAlignment="1">
      <alignment horizontal="center" vertical="center"/>
    </xf>
    <xf numFmtId="0" fontId="9" fillId="2" borderId="63" xfId="1" applyFont="1" applyFill="1" applyBorder="1" applyAlignment="1">
      <alignment horizontal="center" vertical="center" wrapText="1"/>
    </xf>
    <xf numFmtId="0" fontId="9" fillId="2" borderId="66" xfId="1" applyFont="1" applyFill="1" applyBorder="1" applyAlignment="1">
      <alignment horizontal="center" vertical="center" wrapText="1"/>
    </xf>
    <xf numFmtId="0" fontId="9" fillId="2" borderId="65" xfId="1" applyFont="1"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8" xfId="0" applyFont="1" applyFill="1" applyBorder="1" applyAlignment="1">
      <alignment horizontal="left" vertical="center" wrapText="1"/>
    </xf>
    <xf numFmtId="176" fontId="1" fillId="3" borderId="42" xfId="0" applyNumberFormat="1" applyFont="1" applyFill="1" applyBorder="1" applyAlignment="1">
      <alignment horizontal="center" vertical="center"/>
    </xf>
    <xf numFmtId="176" fontId="1" fillId="3" borderId="0" xfId="0" applyNumberFormat="1" applyFont="1" applyFill="1" applyBorder="1" applyAlignment="1">
      <alignment horizontal="center" vertical="center"/>
    </xf>
    <xf numFmtId="176" fontId="1" fillId="3" borderId="8" xfId="0" applyNumberFormat="1" applyFont="1" applyFill="1" applyBorder="1" applyAlignment="1">
      <alignment horizontal="center" vertical="center"/>
    </xf>
    <xf numFmtId="0" fontId="1" fillId="2" borderId="42" xfId="0" applyFont="1" applyFill="1" applyBorder="1" applyAlignment="1">
      <alignment horizontal="center" vertical="center"/>
    </xf>
    <xf numFmtId="0" fontId="1" fillId="2" borderId="47" xfId="0" applyFont="1" applyFill="1" applyBorder="1" applyAlignment="1">
      <alignment horizontal="center" vertical="center"/>
    </xf>
    <xf numFmtId="1" fontId="1" fillId="2" borderId="42" xfId="0" applyNumberFormat="1" applyFont="1" applyFill="1" applyBorder="1" applyAlignment="1">
      <alignment horizontal="center" vertical="center"/>
    </xf>
    <xf numFmtId="1" fontId="1" fillId="2" borderId="47" xfId="0" applyNumberFormat="1" applyFont="1" applyFill="1" applyBorder="1" applyAlignment="1">
      <alignment horizontal="center" vertical="center"/>
    </xf>
    <xf numFmtId="1" fontId="1" fillId="3" borderId="32" xfId="1" applyNumberFormat="1" applyFont="1" applyFill="1" applyBorder="1" applyAlignment="1">
      <alignment horizontal="center" vertical="center"/>
    </xf>
    <xf numFmtId="1" fontId="1" fillId="3" borderId="53" xfId="1" applyNumberFormat="1" applyFont="1" applyFill="1" applyBorder="1" applyAlignment="1">
      <alignment horizontal="center" vertical="center"/>
    </xf>
    <xf numFmtId="0" fontId="6" fillId="0" borderId="2" xfId="0" applyFont="1" applyBorder="1" applyAlignment="1">
      <alignment vertical="center"/>
    </xf>
    <xf numFmtId="0" fontId="1" fillId="2" borderId="45" xfId="0" applyFont="1" applyFill="1" applyBorder="1" applyAlignment="1">
      <alignment horizontal="left" vertical="center" wrapText="1"/>
    </xf>
    <xf numFmtId="0" fontId="1" fillId="2" borderId="50"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1" xfId="0" applyFont="1" applyFill="1" applyBorder="1" applyAlignment="1">
      <alignment horizontal="left" vertical="center" wrapText="1"/>
    </xf>
    <xf numFmtId="1" fontId="1" fillId="2" borderId="39" xfId="0" applyNumberFormat="1" applyFont="1" applyFill="1" applyBorder="1" applyAlignment="1">
      <alignment horizontal="center" vertical="center"/>
    </xf>
    <xf numFmtId="1" fontId="1" fillId="2" borderId="62" xfId="0" applyNumberFormat="1" applyFont="1" applyFill="1" applyBorder="1" applyAlignment="1">
      <alignment horizontal="center" vertical="center"/>
    </xf>
    <xf numFmtId="0" fontId="1" fillId="2" borderId="39" xfId="0" applyFont="1" applyFill="1" applyBorder="1" applyAlignment="1">
      <alignment horizontal="left" vertical="center" wrapText="1"/>
    </xf>
    <xf numFmtId="0" fontId="1" fillId="2" borderId="40" xfId="0" applyFont="1" applyFill="1" applyBorder="1" applyAlignment="1">
      <alignment horizontal="left" vertical="center" wrapText="1"/>
    </xf>
    <xf numFmtId="1" fontId="1" fillId="2" borderId="42" xfId="0" quotePrefix="1" applyNumberFormat="1" applyFont="1" applyFill="1" applyBorder="1" applyAlignment="1">
      <alignment horizontal="center" vertical="center"/>
    </xf>
    <xf numFmtId="1" fontId="1" fillId="2" borderId="47" xfId="0" quotePrefix="1" applyNumberFormat="1" applyFont="1" applyFill="1" applyBorder="1" applyAlignment="1">
      <alignment horizontal="center" vertical="center"/>
    </xf>
    <xf numFmtId="164" fontId="1" fillId="3" borderId="32" xfId="2" applyNumberFormat="1" applyFont="1" applyFill="1" applyBorder="1" applyAlignment="1">
      <alignment horizontal="center" vertical="center"/>
    </xf>
    <xf numFmtId="164" fontId="1" fillId="3" borderId="53" xfId="2" applyNumberFormat="1" applyFont="1" applyFill="1" applyBorder="1" applyAlignment="1">
      <alignment horizontal="center" vertical="center"/>
    </xf>
    <xf numFmtId="9" fontId="1" fillId="3" borderId="32" xfId="2" applyFont="1" applyFill="1" applyBorder="1" applyAlignment="1">
      <alignment horizontal="center" vertical="center"/>
    </xf>
    <xf numFmtId="9" fontId="1" fillId="3" borderId="53" xfId="2" applyFont="1" applyFill="1" applyBorder="1" applyAlignment="1">
      <alignment horizontal="center" vertical="center"/>
    </xf>
    <xf numFmtId="176" fontId="1" fillId="2" borderId="7" xfId="0" applyNumberFormat="1" applyFont="1" applyFill="1" applyBorder="1" applyAlignment="1">
      <alignment horizontal="center" vertical="center"/>
    </xf>
    <xf numFmtId="176" fontId="1" fillId="2" borderId="0" xfId="0" applyNumberFormat="1" applyFont="1" applyFill="1" applyBorder="1" applyAlignment="1">
      <alignment horizontal="center" vertical="center"/>
    </xf>
    <xf numFmtId="173" fontId="5" fillId="2" borderId="41" xfId="0" applyNumberFormat="1" applyFont="1" applyFill="1" applyBorder="1" applyAlignment="1">
      <alignment horizontal="center" vertical="center"/>
    </xf>
    <xf numFmtId="173" fontId="5" fillId="2" borderId="6" xfId="0" applyNumberFormat="1" applyFont="1" applyFill="1" applyBorder="1" applyAlignment="1">
      <alignment horizontal="center" vertical="center"/>
    </xf>
    <xf numFmtId="173" fontId="5" fillId="2" borderId="2" xfId="0" applyNumberFormat="1" applyFont="1" applyFill="1" applyBorder="1" applyAlignment="1">
      <alignment horizontal="center" vertical="center"/>
    </xf>
    <xf numFmtId="173" fontId="9" fillId="2" borderId="68" xfId="1" applyNumberFormat="1" applyFont="1" applyFill="1" applyBorder="1" applyAlignment="1">
      <alignment horizontal="center" vertical="center"/>
    </xf>
    <xf numFmtId="173" fontId="5" fillId="2" borderId="0" xfId="0" applyNumberFormat="1" applyFont="1" applyFill="1" applyBorder="1" applyAlignment="1">
      <alignment horizontal="center" vertical="center"/>
    </xf>
    <xf numFmtId="0" fontId="1" fillId="2" borderId="45" xfId="0" applyFont="1" applyFill="1" applyBorder="1" applyAlignment="1">
      <alignment horizontal="center" vertical="center"/>
    </xf>
    <xf numFmtId="0" fontId="1" fillId="2" borderId="51" xfId="0" applyFont="1" applyFill="1" applyBorder="1" applyAlignment="1">
      <alignment horizontal="center" vertical="center"/>
    </xf>
    <xf numFmtId="176" fontId="1" fillId="2" borderId="41" xfId="1" applyNumberFormat="1" applyFont="1" applyFill="1" applyBorder="1" applyAlignment="1">
      <alignment horizontal="center" vertical="center"/>
    </xf>
    <xf numFmtId="176" fontId="1" fillId="2" borderId="47" xfId="0" applyNumberFormat="1" applyFont="1" applyFill="1" applyBorder="1" applyAlignment="1">
      <alignment horizontal="center" vertical="center"/>
    </xf>
    <xf numFmtId="176" fontId="1" fillId="3" borderId="45" xfId="0" applyNumberFormat="1" applyFont="1" applyFill="1" applyBorder="1" applyAlignment="1">
      <alignment horizontal="center" vertical="center"/>
    </xf>
    <xf numFmtId="176" fontId="1" fillId="3" borderId="50" xfId="0" applyNumberFormat="1" applyFont="1" applyFill="1" applyBorder="1" applyAlignment="1">
      <alignment horizontal="center" vertical="center"/>
    </xf>
    <xf numFmtId="176" fontId="1" fillId="3" borderId="46" xfId="0" applyNumberFormat="1" applyFont="1" applyFill="1" applyBorder="1" applyAlignment="1">
      <alignment horizontal="center" vertical="center"/>
    </xf>
    <xf numFmtId="176" fontId="1" fillId="2" borderId="33" xfId="0" applyNumberFormat="1" applyFont="1" applyFill="1" applyBorder="1" applyAlignment="1">
      <alignment horizontal="center" vertical="center"/>
    </xf>
    <xf numFmtId="176" fontId="1" fillId="2" borderId="50" xfId="0" applyNumberFormat="1" applyFont="1" applyFill="1" applyBorder="1" applyAlignment="1">
      <alignment horizontal="center" vertical="center"/>
    </xf>
    <xf numFmtId="176" fontId="1" fillId="2" borderId="51" xfId="0" applyNumberFormat="1" applyFont="1" applyFill="1" applyBorder="1" applyAlignment="1">
      <alignment horizontal="center" vertical="center"/>
    </xf>
    <xf numFmtId="0" fontId="1" fillId="3" borderId="3" xfId="1" applyFont="1" applyFill="1" applyBorder="1" applyAlignment="1">
      <alignment horizontal="left" wrapText="1"/>
    </xf>
    <xf numFmtId="0" fontId="1" fillId="3" borderId="1" xfId="1" applyFont="1" applyFill="1" applyBorder="1" applyAlignment="1">
      <alignment horizontal="left" wrapText="1"/>
    </xf>
    <xf numFmtId="0" fontId="1" fillId="3" borderId="4" xfId="1" applyFont="1" applyFill="1" applyBorder="1" applyAlignment="1">
      <alignment horizontal="left" wrapText="1"/>
    </xf>
    <xf numFmtId="0" fontId="1" fillId="3" borderId="6" xfId="1" applyFont="1" applyFill="1" applyBorder="1" applyAlignment="1">
      <alignment horizontal="left" wrapText="1"/>
    </xf>
    <xf numFmtId="0" fontId="1" fillId="3" borderId="2" xfId="1" applyFont="1" applyFill="1" applyBorder="1" applyAlignment="1">
      <alignment horizontal="left" wrapText="1"/>
    </xf>
    <xf numFmtId="0" fontId="1" fillId="3" borderId="5" xfId="1" applyFont="1" applyFill="1" applyBorder="1" applyAlignment="1">
      <alignment horizontal="left" wrapText="1"/>
    </xf>
    <xf numFmtId="0" fontId="9" fillId="2" borderId="71" xfId="1" applyFont="1" applyFill="1" applyBorder="1" applyAlignment="1">
      <alignment horizontal="center" vertical="center" wrapText="1"/>
    </xf>
    <xf numFmtId="176" fontId="1" fillId="3" borderId="39" xfId="0" applyNumberFormat="1" applyFont="1" applyFill="1" applyBorder="1" applyAlignment="1">
      <alignment horizontal="center" vertical="center"/>
    </xf>
    <xf numFmtId="176" fontId="1" fillId="3" borderId="41" xfId="0" applyNumberFormat="1" applyFont="1" applyFill="1" applyBorder="1" applyAlignment="1">
      <alignment horizontal="center" vertical="center"/>
    </xf>
    <xf numFmtId="176" fontId="1" fillId="3" borderId="40" xfId="0" applyNumberFormat="1" applyFont="1" applyFill="1" applyBorder="1" applyAlignment="1">
      <alignment horizontal="center" vertical="center"/>
    </xf>
    <xf numFmtId="0" fontId="9" fillId="2" borderId="70" xfId="1" applyFont="1" applyFill="1" applyBorder="1" applyAlignment="1">
      <alignment horizontal="center" vertical="center" wrapText="1"/>
    </xf>
    <xf numFmtId="176" fontId="1" fillId="2" borderId="64" xfId="0" applyNumberFormat="1" applyFont="1" applyFill="1" applyBorder="1" applyAlignment="1">
      <alignment horizontal="center" vertical="center"/>
    </xf>
    <xf numFmtId="176" fontId="1" fillId="2" borderId="41" xfId="0" applyNumberFormat="1" applyFont="1" applyFill="1" applyBorder="1" applyAlignment="1">
      <alignment horizontal="center" vertical="center"/>
    </xf>
    <xf numFmtId="176" fontId="1" fillId="2" borderId="62" xfId="0" applyNumberFormat="1" applyFont="1" applyFill="1" applyBorder="1" applyAlignment="1">
      <alignment horizontal="center" vertical="center"/>
    </xf>
    <xf numFmtId="0" fontId="9" fillId="2" borderId="68" xfId="1" applyFont="1" applyFill="1" applyBorder="1" applyAlignment="1">
      <alignment horizontal="right" vertical="center"/>
    </xf>
    <xf numFmtId="0" fontId="12" fillId="2"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0" xfId="0" applyFont="1" applyFill="1" applyBorder="1" applyAlignment="1">
      <alignment horizontal="left" vertical="center" wrapText="1"/>
    </xf>
    <xf numFmtId="2" fontId="1" fillId="2" borderId="3" xfId="1" applyNumberFormat="1" applyFont="1" applyFill="1" applyBorder="1" applyAlignment="1">
      <alignment horizontal="center" vertical="center"/>
    </xf>
    <xf numFmtId="2" fontId="1" fillId="2" borderId="4" xfId="1" applyNumberFormat="1" applyFont="1" applyFill="1" applyBorder="1" applyAlignment="1">
      <alignment horizontal="center" vertical="center"/>
    </xf>
    <xf numFmtId="2" fontId="1" fillId="2" borderId="7" xfId="1" applyNumberFormat="1" applyFont="1" applyFill="1" applyBorder="1" applyAlignment="1">
      <alignment horizontal="center" vertical="center"/>
    </xf>
    <xf numFmtId="2" fontId="1" fillId="2" borderId="8" xfId="1" applyNumberFormat="1" applyFont="1" applyFill="1" applyBorder="1" applyAlignment="1">
      <alignment horizontal="center" vertical="center"/>
    </xf>
    <xf numFmtId="0" fontId="12" fillId="2" borderId="6" xfId="0" applyFont="1" applyFill="1" applyBorder="1" applyAlignment="1">
      <alignment horizontal="left" vertical="center" wrapText="1"/>
    </xf>
    <xf numFmtId="0" fontId="12" fillId="2" borderId="2" xfId="0" applyFont="1" applyFill="1" applyBorder="1" applyAlignment="1">
      <alignment horizontal="left" vertical="center" wrapText="1"/>
    </xf>
    <xf numFmtId="2" fontId="1" fillId="2" borderId="6" xfId="1" applyNumberFormat="1" applyFont="1" applyFill="1" applyBorder="1" applyAlignment="1">
      <alignment horizontal="center" vertical="center"/>
    </xf>
    <xf numFmtId="2" fontId="1" fillId="2" borderId="5" xfId="1" applyNumberFormat="1" applyFont="1" applyFill="1" applyBorder="1" applyAlignment="1">
      <alignment horizontal="center" vertical="center"/>
    </xf>
    <xf numFmtId="176" fontId="1" fillId="2" borderId="0" xfId="1" applyNumberFormat="1" applyFont="1" applyFill="1" applyBorder="1" applyAlignment="1">
      <alignment horizontal="center" vertical="center"/>
    </xf>
    <xf numFmtId="0" fontId="1" fillId="2" borderId="0" xfId="1" applyFont="1" applyFill="1" applyBorder="1" applyAlignment="1">
      <alignment horizontal="right" vertical="center"/>
    </xf>
    <xf numFmtId="0" fontId="1" fillId="2" borderId="41" xfId="1" applyFont="1" applyFill="1" applyBorder="1" applyAlignment="1">
      <alignment horizontal="right" vertical="center"/>
    </xf>
    <xf numFmtId="176" fontId="1" fillId="2" borderId="64" xfId="0" applyNumberFormat="1" applyFont="1" applyFill="1" applyBorder="1" applyAlignment="1">
      <alignment horizontal="left" vertical="center"/>
    </xf>
    <xf numFmtId="176" fontId="1" fillId="2" borderId="41" xfId="0" applyNumberFormat="1" applyFont="1" applyFill="1" applyBorder="1" applyAlignment="1">
      <alignment horizontal="left" vertical="center"/>
    </xf>
    <xf numFmtId="176" fontId="1" fillId="2" borderId="62" xfId="0" applyNumberFormat="1" applyFont="1" applyFill="1" applyBorder="1" applyAlignment="1">
      <alignment horizontal="left" vertical="center"/>
    </xf>
    <xf numFmtId="0" fontId="1" fillId="3" borderId="32" xfId="1" applyFont="1" applyFill="1" applyBorder="1" applyAlignment="1">
      <alignment horizontal="left" vertical="center" wrapText="1"/>
    </xf>
    <xf numFmtId="0" fontId="1" fillId="3" borderId="54" xfId="1" applyFont="1" applyFill="1" applyBorder="1" applyAlignment="1">
      <alignment horizontal="left" vertical="center" wrapText="1"/>
    </xf>
    <xf numFmtId="0" fontId="1" fillId="3" borderId="53" xfId="1" applyFont="1" applyFill="1" applyBorder="1" applyAlignment="1">
      <alignment horizontal="left" vertical="center" wrapText="1"/>
    </xf>
    <xf numFmtId="0" fontId="5" fillId="2" borderId="0" xfId="1" applyFont="1" applyFill="1" applyAlignment="1">
      <alignment horizontal="right" vertical="center"/>
    </xf>
    <xf numFmtId="0" fontId="0" fillId="0" borderId="0" xfId="0" applyAlignment="1">
      <alignment vertical="center"/>
    </xf>
    <xf numFmtId="0" fontId="0" fillId="0" borderId="8" xfId="0" applyBorder="1" applyAlignment="1">
      <alignment vertical="center"/>
    </xf>
    <xf numFmtId="0" fontId="1" fillId="2" borderId="24" xfId="1" applyFill="1" applyBorder="1" applyAlignment="1">
      <alignment horizontal="center" vertical="center"/>
    </xf>
    <xf numFmtId="0" fontId="1" fillId="2" borderId="25" xfId="1" applyFill="1" applyBorder="1" applyAlignment="1">
      <alignment horizontal="center" vertical="center"/>
    </xf>
    <xf numFmtId="0" fontId="1" fillId="2" borderId="43" xfId="1" applyFill="1" applyBorder="1" applyAlignment="1">
      <alignment horizontal="center" vertical="center"/>
    </xf>
    <xf numFmtId="0" fontId="1" fillId="2" borderId="48" xfId="1" applyFill="1" applyBorder="1" applyAlignment="1">
      <alignment horizontal="center" vertical="center"/>
    </xf>
    <xf numFmtId="0" fontId="1" fillId="2" borderId="42" xfId="1" applyFill="1" applyBorder="1" applyAlignment="1">
      <alignment horizontal="center" vertical="center"/>
    </xf>
    <xf numFmtId="0" fontId="1" fillId="2" borderId="47" xfId="1" applyFill="1" applyBorder="1" applyAlignment="1">
      <alignment horizontal="center" vertical="center"/>
    </xf>
    <xf numFmtId="0" fontId="1" fillId="2" borderId="39" xfId="1" applyFill="1" applyBorder="1" applyAlignment="1">
      <alignment horizontal="center" vertical="center"/>
    </xf>
    <xf numFmtId="0" fontId="1" fillId="2" borderId="62" xfId="1" applyFill="1" applyBorder="1" applyAlignment="1">
      <alignment horizontal="center" vertical="center"/>
    </xf>
    <xf numFmtId="0" fontId="1" fillId="2" borderId="61" xfId="1" applyFill="1" applyBorder="1" applyAlignment="1">
      <alignment horizontal="center" vertical="center"/>
    </xf>
    <xf numFmtId="0" fontId="1" fillId="2" borderId="52" xfId="1" applyFill="1" applyBorder="1" applyAlignment="1">
      <alignment horizontal="center" vertical="center"/>
    </xf>
    <xf numFmtId="0" fontId="9" fillId="2" borderId="39" xfId="1" applyFont="1" applyFill="1" applyBorder="1" applyAlignment="1">
      <alignment horizontal="center" vertical="center" wrapText="1"/>
    </xf>
    <xf numFmtId="0" fontId="9" fillId="2" borderId="62" xfId="1" applyFont="1" applyFill="1" applyBorder="1" applyAlignment="1">
      <alignment horizontal="center" vertical="center" wrapText="1"/>
    </xf>
    <xf numFmtId="0" fontId="9" fillId="2" borderId="42" xfId="1" applyFont="1" applyFill="1" applyBorder="1" applyAlignment="1">
      <alignment horizontal="center" vertical="center" wrapText="1"/>
    </xf>
    <xf numFmtId="0" fontId="9" fillId="2" borderId="47" xfId="1" applyFont="1" applyFill="1" applyBorder="1" applyAlignment="1">
      <alignment horizontal="center" vertical="center" wrapText="1"/>
    </xf>
    <xf numFmtId="0" fontId="9" fillId="2" borderId="45" xfId="1" applyFont="1" applyFill="1" applyBorder="1" applyAlignment="1">
      <alignment horizontal="center" vertical="center" wrapText="1"/>
    </xf>
    <xf numFmtId="0" fontId="9" fillId="2" borderId="51" xfId="1" applyFont="1" applyFill="1" applyBorder="1" applyAlignment="1">
      <alignment horizontal="center" vertical="center" wrapText="1"/>
    </xf>
    <xf numFmtId="0" fontId="1" fillId="2" borderId="44" xfId="1" applyFill="1" applyBorder="1" applyAlignment="1">
      <alignment horizontal="center" vertical="center"/>
    </xf>
    <xf numFmtId="0" fontId="1" fillId="2" borderId="49" xfId="1" applyFill="1" applyBorder="1" applyAlignment="1">
      <alignment horizontal="center" vertical="center"/>
    </xf>
    <xf numFmtId="0" fontId="1" fillId="2" borderId="20" xfId="1" applyFill="1" applyBorder="1" applyAlignment="1">
      <alignment horizontal="center" vertical="center"/>
    </xf>
    <xf numFmtId="0" fontId="1" fillId="2" borderId="3" xfId="1" applyFill="1" applyBorder="1" applyAlignment="1">
      <alignment horizontal="center" vertical="center"/>
    </xf>
    <xf numFmtId="0" fontId="1" fillId="2" borderId="21" xfId="1" applyFill="1" applyBorder="1" applyAlignment="1">
      <alignment horizontal="center" vertical="center"/>
    </xf>
    <xf numFmtId="0" fontId="9" fillId="2" borderId="15" xfId="1" applyFont="1" applyFill="1" applyBorder="1" applyAlignment="1">
      <alignment horizontal="center" vertical="center" wrapText="1"/>
    </xf>
    <xf numFmtId="0" fontId="9" fillId="2" borderId="34" xfId="1" applyFont="1" applyFill="1" applyBorder="1" applyAlignment="1">
      <alignment horizontal="center" vertical="center" wrapText="1"/>
    </xf>
    <xf numFmtId="0" fontId="9" fillId="2" borderId="22" xfId="1" applyFont="1" applyFill="1" applyBorder="1" applyAlignment="1">
      <alignment horizontal="center" vertical="center" wrapText="1"/>
    </xf>
    <xf numFmtId="0" fontId="9" fillId="2" borderId="7" xfId="1" applyFont="1" applyFill="1" applyBorder="1" applyAlignment="1">
      <alignment horizontal="center" vertical="center" wrapText="1"/>
    </xf>
    <xf numFmtId="0" fontId="1" fillId="2" borderId="45" xfId="1" applyFill="1" applyBorder="1" applyAlignment="1">
      <alignment horizontal="center" vertical="center"/>
    </xf>
    <xf numFmtId="0" fontId="1" fillId="2" borderId="51" xfId="1" applyFill="1" applyBorder="1" applyAlignment="1">
      <alignment horizontal="center" vertical="center"/>
    </xf>
    <xf numFmtId="0" fontId="9" fillId="2" borderId="63" xfId="1" applyFont="1" applyFill="1" applyBorder="1" applyAlignment="1">
      <alignment horizontal="center" vertical="center"/>
    </xf>
    <xf numFmtId="0" fontId="9" fillId="2" borderId="66" xfId="1" applyFont="1" applyFill="1" applyBorder="1" applyAlignment="1">
      <alignment horizontal="center" vertical="center"/>
    </xf>
    <xf numFmtId="0" fontId="9" fillId="2" borderId="65" xfId="1" applyFont="1" applyFill="1" applyBorder="1" applyAlignment="1">
      <alignment horizontal="center" vertical="center"/>
    </xf>
    <xf numFmtId="0" fontId="1" fillId="2" borderId="26" xfId="1" applyFill="1" applyBorder="1" applyAlignment="1">
      <alignment horizontal="center" vertical="center"/>
    </xf>
    <xf numFmtId="0" fontId="1" fillId="2" borderId="33" xfId="1" applyFill="1" applyBorder="1" applyAlignment="1">
      <alignment horizontal="center" vertical="center"/>
    </xf>
    <xf numFmtId="0" fontId="1" fillId="2" borderId="28" xfId="1" applyFill="1" applyBorder="1" applyAlignment="1">
      <alignment horizontal="center" vertical="center"/>
    </xf>
    <xf numFmtId="0" fontId="1" fillId="2" borderId="22" xfId="1" applyFill="1" applyBorder="1" applyAlignment="1">
      <alignment horizontal="center" vertical="center"/>
    </xf>
    <xf numFmtId="0" fontId="1" fillId="2" borderId="7" xfId="1" applyFill="1" applyBorder="1" applyAlignment="1">
      <alignment horizontal="center" vertical="center"/>
    </xf>
    <xf numFmtId="0" fontId="1" fillId="2" borderId="23" xfId="1" applyFill="1" applyBorder="1" applyAlignment="1">
      <alignment horizontal="center" vertical="center"/>
    </xf>
    <xf numFmtId="164" fontId="1" fillId="2" borderId="22" xfId="0" applyNumberFormat="1" applyFont="1" applyFill="1" applyBorder="1" applyAlignment="1">
      <alignment horizontal="center" vertical="center"/>
    </xf>
    <xf numFmtId="164" fontId="1" fillId="2" borderId="13" xfId="0" applyNumberFormat="1" applyFont="1" applyFill="1" applyBorder="1" applyAlignment="1">
      <alignment horizontal="center" vertical="center"/>
    </xf>
    <xf numFmtId="164" fontId="1" fillId="2" borderId="23" xfId="0" applyNumberFormat="1" applyFont="1" applyFill="1" applyBorder="1" applyAlignment="1">
      <alignment horizontal="center" vertical="center"/>
    </xf>
    <xf numFmtId="164" fontId="1" fillId="2" borderId="24" xfId="0" applyNumberFormat="1" applyFont="1" applyFill="1" applyBorder="1" applyAlignment="1">
      <alignment horizontal="center" vertical="center"/>
    </xf>
    <xf numFmtId="164" fontId="1" fillId="2" borderId="14" xfId="0" applyNumberFormat="1" applyFont="1" applyFill="1" applyBorder="1" applyAlignment="1">
      <alignment horizontal="center" vertical="center"/>
    </xf>
    <xf numFmtId="164" fontId="1" fillId="2" borderId="25" xfId="0" applyNumberFormat="1" applyFont="1" applyFill="1" applyBorder="1" applyAlignment="1">
      <alignment horizontal="center" vertical="center"/>
    </xf>
    <xf numFmtId="164" fontId="1" fillId="2" borderId="26" xfId="0" applyNumberFormat="1" applyFont="1" applyFill="1" applyBorder="1" applyAlignment="1">
      <alignment horizontal="center" vertical="center"/>
    </xf>
    <xf numFmtId="164" fontId="1" fillId="2" borderId="27" xfId="0" applyNumberFormat="1" applyFont="1" applyFill="1" applyBorder="1" applyAlignment="1">
      <alignment horizontal="center" vertical="center"/>
    </xf>
    <xf numFmtId="164" fontId="1" fillId="2" borderId="28" xfId="0" applyNumberFormat="1" applyFont="1" applyFill="1" applyBorder="1" applyAlignment="1">
      <alignment horizontal="center" vertical="center"/>
    </xf>
    <xf numFmtId="0" fontId="9" fillId="2" borderId="39"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62"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164" fontId="1" fillId="2" borderId="20" xfId="0" applyNumberFormat="1" applyFont="1" applyFill="1" applyBorder="1" applyAlignment="1">
      <alignment horizontal="center" vertical="center"/>
    </xf>
    <xf numFmtId="164" fontId="1" fillId="2" borderId="12" xfId="0" applyNumberFormat="1" applyFont="1" applyFill="1" applyBorder="1" applyAlignment="1">
      <alignment horizontal="center" vertical="center"/>
    </xf>
    <xf numFmtId="164" fontId="1" fillId="2" borderId="21" xfId="0" applyNumberFormat="1" applyFont="1" applyFill="1" applyBorder="1" applyAlignment="1">
      <alignment horizontal="center" vertical="center"/>
    </xf>
    <xf numFmtId="164" fontId="1" fillId="2" borderId="61" xfId="6" applyNumberFormat="1" applyFont="1" applyFill="1" applyBorder="1" applyAlignment="1">
      <alignment horizontal="center" vertical="center"/>
    </xf>
    <xf numFmtId="164" fontId="1" fillId="2" borderId="77" xfId="6" applyNumberFormat="1" applyFont="1" applyFill="1" applyBorder="1" applyAlignment="1">
      <alignment horizontal="center" vertical="center"/>
    </xf>
    <xf numFmtId="164" fontId="1" fillId="2" borderId="52" xfId="6" applyNumberFormat="1" applyFont="1" applyFill="1" applyBorder="1" applyAlignment="1">
      <alignment horizontal="center" vertical="center"/>
    </xf>
    <xf numFmtId="0" fontId="9" fillId="2" borderId="16" xfId="1" applyFont="1" applyFill="1" applyBorder="1" applyAlignment="1">
      <alignment horizontal="center" vertical="center"/>
    </xf>
    <xf numFmtId="0" fontId="9" fillId="2" borderId="34" xfId="1" applyFont="1" applyFill="1" applyBorder="1" applyAlignment="1">
      <alignment horizontal="center" vertical="center"/>
    </xf>
    <xf numFmtId="0" fontId="9" fillId="2" borderId="36" xfId="1" applyFont="1" applyFill="1" applyBorder="1" applyAlignment="1">
      <alignment horizontal="center" vertical="center"/>
    </xf>
    <xf numFmtId="0" fontId="9" fillId="2" borderId="37"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39" xfId="1" applyFont="1" applyFill="1" applyBorder="1" applyAlignment="1">
      <alignment horizontal="left" vertical="center"/>
    </xf>
    <xf numFmtId="0" fontId="9" fillId="2" borderId="41" xfId="1" applyFont="1" applyFill="1" applyBorder="1" applyAlignment="1">
      <alignment horizontal="left" vertical="center"/>
    </xf>
    <xf numFmtId="0" fontId="9" fillId="2" borderId="40" xfId="1" applyFont="1" applyFill="1" applyBorder="1" applyAlignment="1">
      <alignment horizontal="left" vertical="center"/>
    </xf>
    <xf numFmtId="0" fontId="9" fillId="2" borderId="45" xfId="1" applyFont="1" applyFill="1" applyBorder="1" applyAlignment="1">
      <alignment horizontal="left" vertical="center"/>
    </xf>
    <xf numFmtId="0" fontId="9" fillId="2" borderId="50" xfId="1" applyFont="1" applyFill="1" applyBorder="1" applyAlignment="1">
      <alignment horizontal="left" vertical="center"/>
    </xf>
    <xf numFmtId="0" fontId="9" fillId="2" borderId="46" xfId="1" applyFont="1" applyFill="1" applyBorder="1" applyAlignment="1">
      <alignment horizontal="left" vertical="center"/>
    </xf>
    <xf numFmtId="0" fontId="5" fillId="2" borderId="39" xfId="0" applyFont="1" applyFill="1" applyBorder="1" applyAlignment="1">
      <alignment horizontal="left" vertical="center"/>
    </xf>
    <xf numFmtId="0" fontId="5" fillId="2" borderId="41" xfId="0" applyFont="1" applyFill="1" applyBorder="1" applyAlignment="1">
      <alignment horizontal="left" vertical="center"/>
    </xf>
    <xf numFmtId="0" fontId="5" fillId="2" borderId="40" xfId="0" applyFont="1" applyFill="1" applyBorder="1" applyAlignment="1">
      <alignment horizontal="left" vertical="center"/>
    </xf>
    <xf numFmtId="164" fontId="34" fillId="2" borderId="42" xfId="1" applyNumberFormat="1" applyFont="1" applyFill="1" applyBorder="1" applyAlignment="1">
      <alignment horizontal="left" vertical="center"/>
    </xf>
    <xf numFmtId="164" fontId="34" fillId="2" borderId="0" xfId="1" applyNumberFormat="1" applyFont="1" applyFill="1" applyBorder="1" applyAlignment="1">
      <alignment horizontal="left" vertical="center"/>
    </xf>
    <xf numFmtId="0" fontId="1" fillId="2" borderId="42" xfId="0" applyFont="1" applyFill="1" applyBorder="1" applyAlignment="1">
      <alignment horizontal="left" vertical="center" indent="1"/>
    </xf>
    <xf numFmtId="0" fontId="1" fillId="2" borderId="0" xfId="0" applyFont="1" applyFill="1" applyBorder="1" applyAlignment="1">
      <alignment horizontal="left" vertical="center" indent="1"/>
    </xf>
    <xf numFmtId="0" fontId="1" fillId="2" borderId="8" xfId="0" applyFont="1" applyFill="1" applyBorder="1" applyAlignment="1">
      <alignment horizontal="left" vertical="center" indent="1"/>
    </xf>
    <xf numFmtId="164" fontId="5" fillId="2" borderId="64" xfId="1" applyNumberFormat="1" applyFont="1" applyFill="1" applyBorder="1" applyAlignment="1">
      <alignment horizontal="center" vertical="center"/>
    </xf>
    <xf numFmtId="164" fontId="5" fillId="2" borderId="41" xfId="1" applyNumberFormat="1" applyFont="1" applyFill="1" applyBorder="1" applyAlignment="1">
      <alignment horizontal="center" vertical="center"/>
    </xf>
    <xf numFmtId="1" fontId="1" fillId="2" borderId="7" xfId="1" applyNumberFormat="1" applyFill="1" applyBorder="1" applyAlignment="1">
      <alignment horizontal="center" vertical="center"/>
    </xf>
    <xf numFmtId="1" fontId="1" fillId="2" borderId="0" xfId="1" applyNumberFormat="1" applyFill="1" applyBorder="1" applyAlignment="1">
      <alignment horizontal="center" vertical="center"/>
    </xf>
    <xf numFmtId="2" fontId="1" fillId="2" borderId="7" xfId="1" applyNumberFormat="1" applyFill="1" applyBorder="1" applyAlignment="1">
      <alignment horizontal="center" vertical="center"/>
    </xf>
    <xf numFmtId="0" fontId="1" fillId="2" borderId="7" xfId="1" applyNumberFormat="1" applyFill="1" applyBorder="1" applyAlignment="1">
      <alignment horizontal="center" vertical="center"/>
    </xf>
    <xf numFmtId="0" fontId="1" fillId="2" borderId="0" xfId="1" applyNumberFormat="1" applyFill="1" applyBorder="1" applyAlignment="1">
      <alignment horizontal="center" vertical="center"/>
    </xf>
    <xf numFmtId="0" fontId="5" fillId="2" borderId="7" xfId="1" applyFont="1" applyFill="1" applyBorder="1" applyAlignment="1">
      <alignment horizontal="center" vertical="center"/>
    </xf>
    <xf numFmtId="0" fontId="5" fillId="2" borderId="0" xfId="1" applyFont="1" applyFill="1" applyBorder="1" applyAlignment="1">
      <alignment horizontal="center" vertical="center"/>
    </xf>
    <xf numFmtId="0" fontId="5" fillId="2" borderId="42" xfId="1" applyFont="1" applyFill="1" applyBorder="1" applyAlignment="1">
      <alignment horizontal="center" vertical="center"/>
    </xf>
    <xf numFmtId="164" fontId="5" fillId="2" borderId="0" xfId="1" applyNumberFormat="1" applyFont="1" applyFill="1" applyBorder="1" applyAlignment="1">
      <alignment horizontal="center" vertical="center"/>
    </xf>
    <xf numFmtId="170" fontId="5" fillId="2" borderId="0" xfId="1" applyNumberFormat="1" applyFont="1" applyFill="1" applyBorder="1" applyAlignment="1">
      <alignment horizontal="center" vertical="center"/>
    </xf>
    <xf numFmtId="0" fontId="1" fillId="2" borderId="63" xfId="0" applyFont="1" applyFill="1" applyBorder="1" applyAlignment="1">
      <alignment horizontal="left" vertical="center"/>
    </xf>
    <xf numFmtId="0" fontId="1" fillId="2" borderId="66" xfId="0" applyFont="1" applyFill="1" applyBorder="1" applyAlignment="1">
      <alignment horizontal="left" vertical="center"/>
    </xf>
    <xf numFmtId="0" fontId="1" fillId="2" borderId="71" xfId="0" applyFont="1" applyFill="1" applyBorder="1" applyAlignment="1">
      <alignment horizontal="left" vertical="center"/>
    </xf>
    <xf numFmtId="164" fontId="9" fillId="2" borderId="70" xfId="1" applyNumberFormat="1" applyFont="1" applyFill="1" applyBorder="1" applyAlignment="1">
      <alignment horizontal="center" vertical="center"/>
    </xf>
    <xf numFmtId="164" fontId="9" fillId="2" borderId="66" xfId="1" applyNumberFormat="1" applyFont="1" applyFill="1" applyBorder="1" applyAlignment="1">
      <alignment horizontal="center" vertical="center"/>
    </xf>
    <xf numFmtId="164" fontId="9" fillId="2" borderId="65" xfId="1" applyNumberFormat="1" applyFont="1" applyFill="1" applyBorder="1" applyAlignment="1">
      <alignment horizontal="center" vertical="center"/>
    </xf>
    <xf numFmtId="170" fontId="5" fillId="2" borderId="7" xfId="1" applyNumberFormat="1" applyFont="1" applyFill="1" applyBorder="1" applyAlignment="1">
      <alignment horizontal="center" vertical="center"/>
    </xf>
    <xf numFmtId="170" fontId="5" fillId="2" borderId="42" xfId="1" applyNumberFormat="1" applyFont="1" applyFill="1" applyBorder="1" applyAlignment="1">
      <alignment horizontal="center" vertical="center"/>
    </xf>
    <xf numFmtId="164" fontId="9" fillId="2" borderId="42" xfId="1" applyNumberFormat="1" applyFont="1" applyFill="1" applyBorder="1" applyAlignment="1">
      <alignment horizontal="left" vertical="center" wrapText="1"/>
    </xf>
    <xf numFmtId="164" fontId="9" fillId="2" borderId="0" xfId="1" applyNumberFormat="1" applyFont="1" applyFill="1" applyBorder="1" applyAlignment="1">
      <alignment horizontal="left" vertical="center" wrapText="1"/>
    </xf>
    <xf numFmtId="0" fontId="0" fillId="0" borderId="0" xfId="0" applyAlignment="1">
      <alignment vertical="center" wrapText="1"/>
    </xf>
    <xf numFmtId="174" fontId="1" fillId="2" borderId="5" xfId="0" applyNumberFormat="1" applyFont="1" applyFill="1" applyBorder="1" applyAlignment="1">
      <alignment horizontal="center" vertical="center"/>
    </xf>
    <xf numFmtId="174" fontId="1" fillId="2" borderId="14" xfId="0" applyNumberFormat="1" applyFont="1" applyFill="1" applyBorder="1" applyAlignment="1">
      <alignment horizontal="center" vertical="center"/>
    </xf>
    <xf numFmtId="174" fontId="1" fillId="2" borderId="25" xfId="0" applyNumberFormat="1" applyFont="1" applyFill="1" applyBorder="1" applyAlignment="1">
      <alignment horizontal="center" vertical="center"/>
    </xf>
    <xf numFmtId="174" fontId="1" fillId="2" borderId="4" xfId="0" applyNumberFormat="1" applyFont="1" applyFill="1" applyBorder="1" applyAlignment="1">
      <alignment horizontal="center" vertical="center"/>
    </xf>
    <xf numFmtId="174" fontId="1" fillId="2" borderId="12" xfId="0" applyNumberFormat="1" applyFont="1" applyFill="1" applyBorder="1" applyAlignment="1">
      <alignment horizontal="center" vertical="center"/>
    </xf>
    <xf numFmtId="174" fontId="1" fillId="2" borderId="21" xfId="0" applyNumberFormat="1" applyFont="1" applyFill="1" applyBorder="1" applyAlignment="1">
      <alignment horizontal="center" vertical="center"/>
    </xf>
    <xf numFmtId="174" fontId="1" fillId="2" borderId="56" xfId="0" applyNumberFormat="1" applyFont="1" applyFill="1" applyBorder="1" applyAlignment="1">
      <alignment horizontal="center" vertical="center"/>
    </xf>
    <xf numFmtId="174" fontId="1" fillId="2" borderId="16" xfId="0" applyNumberFormat="1" applyFont="1" applyFill="1" applyBorder="1" applyAlignment="1">
      <alignment horizontal="center" vertical="center"/>
    </xf>
    <xf numFmtId="174" fontId="1" fillId="2" borderId="17" xfId="0" applyNumberFormat="1" applyFont="1" applyFill="1" applyBorder="1" applyAlignment="1">
      <alignment horizontal="center" vertical="center"/>
    </xf>
    <xf numFmtId="174" fontId="1" fillId="2" borderId="46" xfId="0" applyNumberFormat="1" applyFont="1" applyFill="1" applyBorder="1" applyAlignment="1">
      <alignment horizontal="center" vertical="center"/>
    </xf>
    <xf numFmtId="174" fontId="1" fillId="2" borderId="27" xfId="0" applyNumberFormat="1" applyFont="1" applyFill="1" applyBorder="1" applyAlignment="1">
      <alignment horizontal="center" vertical="center"/>
    </xf>
    <xf numFmtId="174" fontId="1" fillId="2" borderId="28" xfId="0" applyNumberFormat="1" applyFont="1" applyFill="1" applyBorder="1" applyAlignment="1">
      <alignment horizontal="center" vertical="center"/>
    </xf>
    <xf numFmtId="174" fontId="1" fillId="2" borderId="8" xfId="0" applyNumberFormat="1" applyFont="1" applyFill="1" applyBorder="1" applyAlignment="1">
      <alignment horizontal="center" vertical="center"/>
    </xf>
    <xf numFmtId="174" fontId="1" fillId="2" borderId="13" xfId="0" applyNumberFormat="1" applyFont="1" applyFill="1" applyBorder="1" applyAlignment="1">
      <alignment horizontal="center" vertical="center"/>
    </xf>
    <xf numFmtId="174" fontId="1" fillId="2" borderId="23" xfId="0"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74" fontId="1" fillId="0" borderId="5" xfId="0" applyNumberFormat="1" applyFont="1" applyFill="1" applyBorder="1" applyAlignment="1">
      <alignment horizontal="center" vertical="center"/>
    </xf>
    <xf numFmtId="174" fontId="1" fillId="0" borderId="14" xfId="0" applyNumberFormat="1" applyFont="1" applyFill="1" applyBorder="1" applyAlignment="1">
      <alignment horizontal="center" vertical="center"/>
    </xf>
    <xf numFmtId="174" fontId="1" fillId="0" borderId="25" xfId="0" applyNumberFormat="1" applyFont="1" applyFill="1" applyBorder="1" applyAlignment="1">
      <alignment horizontal="center" vertical="center"/>
    </xf>
    <xf numFmtId="164" fontId="1" fillId="0" borderId="22" xfId="0" applyNumberFormat="1" applyFont="1" applyFill="1" applyBorder="1" applyAlignment="1">
      <alignment horizontal="center" vertical="center"/>
    </xf>
    <xf numFmtId="164" fontId="1" fillId="0" borderId="13" xfId="0" applyNumberFormat="1" applyFont="1" applyFill="1" applyBorder="1" applyAlignment="1">
      <alignment horizontal="center" vertical="center"/>
    </xf>
    <xf numFmtId="164" fontId="1" fillId="0" borderId="23" xfId="0" applyNumberFormat="1" applyFont="1" applyFill="1" applyBorder="1" applyAlignment="1">
      <alignment horizontal="center" vertical="center"/>
    </xf>
    <xf numFmtId="164" fontId="1" fillId="0" borderId="24" xfId="0" applyNumberFormat="1" applyFont="1" applyFill="1" applyBorder="1" applyAlignment="1">
      <alignment horizontal="center" vertical="center"/>
    </xf>
    <xf numFmtId="164" fontId="1" fillId="0" borderId="14" xfId="0" applyNumberFormat="1" applyFont="1" applyFill="1" applyBorder="1" applyAlignment="1">
      <alignment horizontal="center" vertical="center"/>
    </xf>
    <xf numFmtId="164" fontId="1" fillId="0" borderId="25" xfId="0" applyNumberFormat="1" applyFont="1" applyFill="1" applyBorder="1" applyAlignment="1">
      <alignment horizontal="center" vertical="center"/>
    </xf>
    <xf numFmtId="174" fontId="1" fillId="0" borderId="4" xfId="0" applyNumberFormat="1" applyFont="1" applyFill="1" applyBorder="1" applyAlignment="1">
      <alignment horizontal="center" vertical="center"/>
    </xf>
    <xf numFmtId="174" fontId="1" fillId="0" borderId="12" xfId="0" applyNumberFormat="1" applyFont="1" applyFill="1" applyBorder="1" applyAlignment="1">
      <alignment horizontal="center" vertical="center"/>
    </xf>
    <xf numFmtId="174" fontId="1" fillId="0" borderId="21" xfId="0" applyNumberFormat="1" applyFont="1" applyFill="1" applyBorder="1" applyAlignment="1">
      <alignment horizontal="center" vertical="center"/>
    </xf>
    <xf numFmtId="174" fontId="1" fillId="0" borderId="8" xfId="0" applyNumberFormat="1" applyFont="1" applyFill="1" applyBorder="1" applyAlignment="1">
      <alignment horizontal="center" vertical="center"/>
    </xf>
    <xf numFmtId="174" fontId="1" fillId="0" borderId="13" xfId="0" applyNumberFormat="1" applyFont="1" applyFill="1" applyBorder="1" applyAlignment="1">
      <alignment horizontal="center" vertical="center"/>
    </xf>
    <xf numFmtId="174" fontId="1" fillId="0" borderId="23" xfId="0" applyNumberFormat="1" applyFont="1" applyFill="1" applyBorder="1" applyAlignment="1">
      <alignment horizontal="center" vertical="center"/>
    </xf>
    <xf numFmtId="174" fontId="1" fillId="0" borderId="46" xfId="0" applyNumberFormat="1" applyFont="1" applyFill="1" applyBorder="1" applyAlignment="1">
      <alignment horizontal="center" vertical="center"/>
    </xf>
    <xf numFmtId="174" fontId="1" fillId="0" borderId="27" xfId="0" applyNumberFormat="1" applyFont="1" applyFill="1" applyBorder="1" applyAlignment="1">
      <alignment horizontal="center" vertical="center"/>
    </xf>
    <xf numFmtId="174" fontId="1" fillId="0" borderId="28" xfId="0" applyNumberFormat="1" applyFont="1" applyFill="1" applyBorder="1" applyAlignment="1">
      <alignment horizontal="center" vertical="center"/>
    </xf>
    <xf numFmtId="164" fontId="1" fillId="0" borderId="26" xfId="0" applyNumberFormat="1" applyFont="1" applyFill="1" applyBorder="1" applyAlignment="1">
      <alignment horizontal="center" vertical="center"/>
    </xf>
    <xf numFmtId="164" fontId="1" fillId="0" borderId="27" xfId="0" applyNumberFormat="1" applyFont="1" applyFill="1" applyBorder="1" applyAlignment="1">
      <alignment horizontal="center" vertical="center"/>
    </xf>
    <xf numFmtId="164" fontId="1" fillId="0" borderId="28" xfId="0" applyNumberFormat="1" applyFont="1" applyFill="1" applyBorder="1" applyAlignment="1">
      <alignment horizontal="center" vertical="center"/>
    </xf>
    <xf numFmtId="164" fontId="1" fillId="0" borderId="20" xfId="0" applyNumberFormat="1" applyFont="1" applyFill="1" applyBorder="1" applyAlignment="1">
      <alignment horizontal="center" vertical="center"/>
    </xf>
    <xf numFmtId="164" fontId="1" fillId="0" borderId="12" xfId="0" applyNumberFormat="1" applyFont="1" applyFill="1" applyBorder="1" applyAlignment="1">
      <alignment horizontal="center" vertical="center"/>
    </xf>
    <xf numFmtId="164" fontId="1" fillId="0" borderId="21" xfId="0" applyNumberFormat="1" applyFont="1" applyFill="1" applyBorder="1" applyAlignment="1">
      <alignment horizontal="center" vertical="center"/>
    </xf>
    <xf numFmtId="181" fontId="9" fillId="2" borderId="0" xfId="1" quotePrefix="1" applyNumberFormat="1" applyFont="1" applyFill="1" applyBorder="1" applyAlignment="1">
      <alignment horizontal="center" vertical="center"/>
    </xf>
    <xf numFmtId="0" fontId="1" fillId="2" borderId="0" xfId="1" applyFont="1" applyFill="1" applyBorder="1" applyAlignment="1">
      <alignment horizontal="left" vertical="center" indent="1"/>
    </xf>
    <xf numFmtId="180" fontId="9" fillId="2" borderId="0" xfId="1" applyNumberFormat="1" applyFont="1" applyFill="1" applyBorder="1" applyAlignment="1">
      <alignment horizontal="center" vertical="center"/>
    </xf>
    <xf numFmtId="0" fontId="5" fillId="2" borderId="47" xfId="1" applyFont="1" applyFill="1" applyBorder="1" applyAlignment="1">
      <alignment horizontal="center" vertical="center"/>
    </xf>
    <xf numFmtId="170" fontId="5" fillId="2" borderId="33" xfId="1" applyNumberFormat="1" applyFont="1" applyFill="1" applyBorder="1" applyAlignment="1">
      <alignment horizontal="center" vertical="center"/>
    </xf>
    <xf numFmtId="170" fontId="5" fillId="2" borderId="50" xfId="1" applyNumberFormat="1" applyFont="1" applyFill="1" applyBorder="1" applyAlignment="1">
      <alignment horizontal="center" vertical="center"/>
    </xf>
    <xf numFmtId="170" fontId="5" fillId="2" borderId="51" xfId="1" applyNumberFormat="1" applyFont="1" applyFill="1" applyBorder="1" applyAlignment="1">
      <alignment horizontal="center" vertical="center"/>
    </xf>
    <xf numFmtId="1" fontId="1" fillId="2" borderId="7" xfId="1" applyNumberFormat="1" applyFont="1" applyFill="1" applyBorder="1" applyAlignment="1">
      <alignment horizontal="center" vertical="center"/>
    </xf>
    <xf numFmtId="1" fontId="1" fillId="2" borderId="0" xfId="1" applyNumberFormat="1" applyFont="1" applyFill="1" applyBorder="1" applyAlignment="1">
      <alignment horizontal="center" vertical="center"/>
    </xf>
    <xf numFmtId="1" fontId="1" fillId="2" borderId="47" xfId="1" applyNumberFormat="1" applyFont="1" applyFill="1" applyBorder="1" applyAlignment="1">
      <alignment horizontal="center" vertical="center"/>
    </xf>
    <xf numFmtId="0" fontId="1" fillId="2" borderId="7" xfId="1" applyFont="1" applyFill="1" applyBorder="1" applyAlignment="1">
      <alignment horizontal="center" vertical="center"/>
    </xf>
    <xf numFmtId="0" fontId="1" fillId="2" borderId="47" xfId="1" applyFont="1" applyFill="1" applyBorder="1" applyAlignment="1">
      <alignment horizontal="center" vertical="center"/>
    </xf>
    <xf numFmtId="0" fontId="9" fillId="2" borderId="0" xfId="1" applyFont="1" applyFill="1" applyBorder="1" applyAlignment="1">
      <alignment horizontal="left" vertical="center" indent="1"/>
    </xf>
    <xf numFmtId="0" fontId="9" fillId="2" borderId="17" xfId="1" applyFont="1" applyFill="1" applyBorder="1" applyAlignment="1">
      <alignment horizontal="center" vertical="center"/>
    </xf>
    <xf numFmtId="0" fontId="9" fillId="2" borderId="38" xfId="1" applyFont="1" applyFill="1" applyBorder="1" applyAlignment="1">
      <alignment horizontal="center" vertical="center"/>
    </xf>
    <xf numFmtId="164" fontId="5" fillId="2" borderId="62" xfId="1" applyNumberFormat="1" applyFont="1" applyFill="1" applyBorder="1" applyAlignment="1">
      <alignment horizontal="center" vertical="center"/>
    </xf>
    <xf numFmtId="0" fontId="1" fillId="2" borderId="41" xfId="0" applyFont="1" applyFill="1" applyBorder="1" applyAlignment="1">
      <alignment horizontal="left" vertical="center"/>
    </xf>
    <xf numFmtId="0" fontId="1" fillId="2" borderId="40" xfId="0" applyFont="1" applyFill="1" applyBorder="1" applyAlignment="1">
      <alignment horizontal="left" vertical="center"/>
    </xf>
    <xf numFmtId="0" fontId="1" fillId="2" borderId="64"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40" xfId="0" applyFont="1" applyFill="1" applyBorder="1" applyAlignment="1">
      <alignment horizontal="center" vertical="center"/>
    </xf>
    <xf numFmtId="0" fontId="1" fillId="4" borderId="64" xfId="0" applyFont="1" applyFill="1" applyBorder="1" applyAlignment="1">
      <alignment horizontal="center" vertical="center"/>
    </xf>
    <xf numFmtId="0" fontId="1" fillId="4" borderId="41" xfId="0" applyFont="1" applyFill="1" applyBorder="1" applyAlignment="1">
      <alignment horizontal="center" vertical="center"/>
    </xf>
    <xf numFmtId="0" fontId="1" fillId="4" borderId="40" xfId="0" applyFont="1" applyFill="1" applyBorder="1" applyAlignment="1">
      <alignment horizontal="center" vertical="center"/>
    </xf>
    <xf numFmtId="3" fontId="1" fillId="2" borderId="64" xfId="0" applyNumberFormat="1" applyFont="1" applyFill="1" applyBorder="1" applyAlignment="1">
      <alignment horizontal="center" vertical="center"/>
    </xf>
    <xf numFmtId="3" fontId="1" fillId="2" borderId="41" xfId="0" applyNumberFormat="1" applyFont="1" applyFill="1" applyBorder="1" applyAlignment="1">
      <alignment horizontal="center" vertical="center"/>
    </xf>
    <xf numFmtId="3" fontId="1" fillId="2" borderId="40" xfId="0" applyNumberFormat="1" applyFont="1" applyFill="1" applyBorder="1" applyAlignment="1">
      <alignment horizontal="center" vertical="center"/>
    </xf>
    <xf numFmtId="2" fontId="1" fillId="0" borderId="64" xfId="0" applyNumberFormat="1" applyFont="1" applyFill="1" applyBorder="1" applyAlignment="1">
      <alignment horizontal="center" vertical="center"/>
    </xf>
    <xf numFmtId="2" fontId="1" fillId="0" borderId="41" xfId="0" applyNumberFormat="1" applyFont="1" applyFill="1" applyBorder="1" applyAlignment="1">
      <alignment horizontal="center" vertical="center"/>
    </xf>
    <xf numFmtId="2" fontId="1" fillId="0" borderId="40" xfId="0" applyNumberFormat="1" applyFont="1" applyFill="1" applyBorder="1" applyAlignment="1">
      <alignment horizontal="center" vertical="center"/>
    </xf>
    <xf numFmtId="164" fontId="9" fillId="2" borderId="64" xfId="0" applyNumberFormat="1" applyFont="1" applyFill="1" applyBorder="1" applyAlignment="1">
      <alignment horizontal="center" vertical="center"/>
    </xf>
    <xf numFmtId="164" fontId="9" fillId="2" borderId="41" xfId="0" applyNumberFormat="1" applyFont="1" applyFill="1" applyBorder="1" applyAlignment="1">
      <alignment horizontal="center" vertical="center"/>
    </xf>
    <xf numFmtId="0" fontId="9" fillId="2" borderId="0" xfId="1" applyFont="1" applyFill="1" applyBorder="1" applyAlignment="1">
      <alignment horizontal="left" vertical="center" wrapText="1"/>
    </xf>
    <xf numFmtId="0" fontId="9" fillId="2" borderId="8" xfId="1" applyFont="1" applyFill="1" applyBorder="1" applyAlignment="1">
      <alignment horizontal="left" vertical="center" wrapText="1"/>
    </xf>
    <xf numFmtId="0" fontId="9" fillId="2" borderId="50" xfId="1" applyFont="1" applyFill="1" applyBorder="1" applyAlignment="1">
      <alignment horizontal="left" vertical="center" wrapText="1"/>
    </xf>
    <xf numFmtId="0" fontId="9" fillId="2" borderId="46" xfId="1" applyFont="1" applyFill="1" applyBorder="1" applyAlignment="1">
      <alignment horizontal="left" vertical="center" wrapText="1"/>
    </xf>
    <xf numFmtId="0" fontId="9" fillId="2" borderId="0" xfId="1" applyFont="1" applyFill="1" applyBorder="1" applyAlignment="1">
      <alignment horizontal="center" vertical="center" wrapText="1"/>
    </xf>
    <xf numFmtId="0" fontId="9" fillId="2" borderId="8" xfId="1" applyFont="1" applyFill="1" applyBorder="1" applyAlignment="1">
      <alignment horizontal="center" vertical="center" wrapText="1"/>
    </xf>
    <xf numFmtId="0" fontId="9" fillId="2" borderId="33" xfId="1" applyFont="1" applyFill="1" applyBorder="1" applyAlignment="1">
      <alignment horizontal="center" vertical="center" wrapText="1"/>
    </xf>
    <xf numFmtId="164" fontId="45" fillId="2" borderId="3" xfId="0" applyNumberFormat="1" applyFont="1" applyFill="1" applyBorder="1" applyAlignment="1">
      <alignment horizontal="center" vertical="center"/>
    </xf>
    <xf numFmtId="164" fontId="45" fillId="2" borderId="1" xfId="0" applyNumberFormat="1" applyFont="1" applyFill="1" applyBorder="1" applyAlignment="1">
      <alignment horizontal="center" vertical="center"/>
    </xf>
    <xf numFmtId="0" fontId="10" fillId="2" borderId="0" xfId="0" applyFont="1" applyFill="1" applyBorder="1" applyAlignment="1">
      <alignment horizontal="left" vertical="center"/>
    </xf>
    <xf numFmtId="0" fontId="10" fillId="2" borderId="0" xfId="0" applyFont="1" applyFill="1" applyBorder="1" applyAlignment="1">
      <alignment horizontal="right" vertical="center"/>
    </xf>
    <xf numFmtId="0" fontId="10" fillId="2" borderId="8" xfId="0" applyFont="1" applyFill="1" applyBorder="1" applyAlignment="1">
      <alignment horizontal="right" vertical="center"/>
    </xf>
    <xf numFmtId="0" fontId="10" fillId="2" borderId="7"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8" xfId="0" applyFont="1" applyFill="1" applyBorder="1" applyAlignment="1">
      <alignment horizontal="center" vertical="center"/>
    </xf>
    <xf numFmtId="9" fontId="10" fillId="4" borderId="7" xfId="2" applyFont="1" applyFill="1" applyBorder="1" applyAlignment="1">
      <alignment horizontal="center" vertical="center"/>
    </xf>
    <xf numFmtId="9" fontId="10" fillId="4" borderId="0" xfId="2" applyFont="1" applyFill="1" applyBorder="1" applyAlignment="1">
      <alignment horizontal="center" vertical="center"/>
    </xf>
    <xf numFmtId="9" fontId="10" fillId="4" borderId="8" xfId="2" applyFont="1" applyFill="1" applyBorder="1" applyAlignment="1">
      <alignment horizontal="center" vertical="center"/>
    </xf>
    <xf numFmtId="3" fontId="10" fillId="2" borderId="7"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164" fontId="45" fillId="2" borderId="7" xfId="0" applyNumberFormat="1" applyFont="1" applyFill="1" applyBorder="1" applyAlignment="1">
      <alignment horizontal="center" vertical="center"/>
    </xf>
    <xf numFmtId="164" fontId="45" fillId="2" borderId="0" xfId="0" applyNumberFormat="1" applyFont="1" applyFill="1" applyBorder="1" applyAlignment="1">
      <alignment horizontal="center" vertical="center"/>
    </xf>
    <xf numFmtId="0" fontId="10" fillId="2" borderId="1" xfId="0" applyFont="1" applyFill="1" applyBorder="1" applyAlignment="1">
      <alignment horizontal="left" vertical="center"/>
    </xf>
    <xf numFmtId="0" fontId="10" fillId="2" borderId="1" xfId="0" applyFont="1" applyFill="1" applyBorder="1" applyAlignment="1">
      <alignment horizontal="right" vertical="center"/>
    </xf>
    <xf numFmtId="0" fontId="10" fillId="2" borderId="4" xfId="0" applyFont="1" applyFill="1" applyBorder="1" applyAlignment="1">
      <alignment horizontal="right" vertical="center"/>
    </xf>
    <xf numFmtId="0" fontId="10" fillId="2" borderId="3"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4"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1" xfId="0" applyFont="1" applyFill="1" applyBorder="1" applyAlignment="1">
      <alignment horizontal="center" vertical="center"/>
    </xf>
    <xf numFmtId="0" fontId="10" fillId="4" borderId="4" xfId="0" applyFont="1" applyFill="1" applyBorder="1" applyAlignment="1">
      <alignment horizontal="center" vertical="center"/>
    </xf>
    <xf numFmtId="3" fontId="10" fillId="2" borderId="3"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3" fontId="10" fillId="2" borderId="4" xfId="0" applyNumberFormat="1" applyFont="1" applyFill="1" applyBorder="1" applyAlignment="1">
      <alignment horizontal="center" vertical="center"/>
    </xf>
    <xf numFmtId="164" fontId="9" fillId="2" borderId="37" xfId="0" applyNumberFormat="1" applyFont="1" applyFill="1" applyBorder="1" applyAlignment="1">
      <alignment horizontal="center" vertical="center"/>
    </xf>
    <xf numFmtId="164" fontId="9" fillId="2" borderId="68" xfId="0" applyNumberFormat="1" applyFont="1" applyFill="1" applyBorder="1" applyAlignment="1">
      <alignment horizontal="center" vertical="center"/>
    </xf>
    <xf numFmtId="0" fontId="1" fillId="2" borderId="68" xfId="0" applyFont="1" applyFill="1" applyBorder="1" applyAlignment="1">
      <alignment horizontal="left" vertical="center"/>
    </xf>
    <xf numFmtId="0" fontId="1" fillId="2" borderId="57" xfId="0" applyFont="1" applyFill="1" applyBorder="1" applyAlignment="1">
      <alignment horizontal="left" vertical="center"/>
    </xf>
    <xf numFmtId="0" fontId="5" fillId="2" borderId="37" xfId="0" applyFont="1" applyFill="1" applyBorder="1" applyAlignment="1">
      <alignment horizontal="center" vertical="center"/>
    </xf>
    <xf numFmtId="0" fontId="5" fillId="2" borderId="68" xfId="0" applyFont="1" applyFill="1" applyBorder="1" applyAlignment="1">
      <alignment horizontal="center" vertical="center"/>
    </xf>
    <xf numFmtId="0" fontId="5" fillId="2" borderId="57" xfId="0" applyFont="1" applyFill="1" applyBorder="1" applyAlignment="1">
      <alignment horizontal="center" vertical="center"/>
    </xf>
    <xf numFmtId="0" fontId="1" fillId="4" borderId="37" xfId="0" applyFont="1" applyFill="1" applyBorder="1" applyAlignment="1">
      <alignment horizontal="center" vertical="center"/>
    </xf>
    <xf numFmtId="0" fontId="1" fillId="4" borderId="68" xfId="0" applyFont="1" applyFill="1" applyBorder="1" applyAlignment="1">
      <alignment horizontal="center" vertical="center"/>
    </xf>
    <xf numFmtId="0" fontId="1" fillId="4" borderId="57" xfId="0" applyFont="1" applyFill="1" applyBorder="1" applyAlignment="1">
      <alignment horizontal="center" vertical="center"/>
    </xf>
    <xf numFmtId="3" fontId="5" fillId="2" borderId="37" xfId="0" applyNumberFormat="1" applyFont="1" applyFill="1" applyBorder="1" applyAlignment="1">
      <alignment horizontal="center" vertical="center"/>
    </xf>
    <xf numFmtId="3" fontId="5" fillId="2" borderId="68"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3" fontId="1" fillId="2" borderId="0" xfId="1" applyNumberFormat="1" applyFill="1" applyAlignment="1">
      <alignment horizontal="center" vertical="center"/>
    </xf>
    <xf numFmtId="0" fontId="1" fillId="2" borderId="0" xfId="1" applyFill="1" applyAlignment="1">
      <alignment horizontal="center" vertical="center"/>
    </xf>
    <xf numFmtId="0" fontId="10" fillId="4" borderId="64" xfId="0" applyFont="1" applyFill="1" applyBorder="1" applyAlignment="1">
      <alignment horizontal="center" vertical="center"/>
    </xf>
    <xf numFmtId="0" fontId="10" fillId="4" borderId="41" xfId="0" applyFont="1" applyFill="1" applyBorder="1" applyAlignment="1">
      <alignment horizontal="center" vertical="center"/>
    </xf>
    <xf numFmtId="0" fontId="10" fillId="4" borderId="40" xfId="0" applyFont="1" applyFill="1" applyBorder="1" applyAlignment="1">
      <alignment horizontal="center" vertical="center"/>
    </xf>
    <xf numFmtId="3" fontId="10" fillId="2" borderId="64" xfId="0" applyNumberFormat="1" applyFont="1" applyFill="1" applyBorder="1" applyAlignment="1">
      <alignment horizontal="center" vertical="center"/>
    </xf>
    <xf numFmtId="3" fontId="10" fillId="2" borderId="41" xfId="0" applyNumberFormat="1" applyFont="1" applyFill="1" applyBorder="1" applyAlignment="1">
      <alignment horizontal="center" vertical="center"/>
    </xf>
    <xf numFmtId="3" fontId="10" fillId="2" borderId="40" xfId="0" applyNumberFormat="1" applyFont="1" applyFill="1" applyBorder="1" applyAlignment="1">
      <alignment horizontal="center" vertical="center"/>
    </xf>
    <xf numFmtId="0" fontId="10" fillId="2" borderId="64"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40" xfId="0" applyFont="1" applyFill="1" applyBorder="1" applyAlignment="1">
      <alignment horizontal="center" vertical="center"/>
    </xf>
    <xf numFmtId="164" fontId="56" fillId="2" borderId="64" xfId="0" applyNumberFormat="1" applyFont="1" applyFill="1" applyBorder="1" applyAlignment="1">
      <alignment horizontal="center" vertical="center"/>
    </xf>
    <xf numFmtId="164" fontId="56" fillId="2" borderId="41" xfId="0" applyNumberFormat="1" applyFont="1" applyFill="1" applyBorder="1" applyAlignment="1">
      <alignment horizontal="center" vertical="center"/>
    </xf>
    <xf numFmtId="0" fontId="1" fillId="2" borderId="1" xfId="0" applyFont="1" applyFill="1" applyBorder="1" applyAlignment="1">
      <alignment horizontal="left" vertical="center"/>
    </xf>
    <xf numFmtId="0" fontId="1" fillId="2" borderId="1" xfId="0" applyFont="1" applyFill="1" applyBorder="1" applyAlignment="1">
      <alignment horizontal="right" vertical="center"/>
    </xf>
    <xf numFmtId="0" fontId="1" fillId="2" borderId="4" xfId="0" applyFont="1" applyFill="1" applyBorder="1" applyAlignment="1">
      <alignment horizontal="right" vertical="center"/>
    </xf>
    <xf numFmtId="1" fontId="1" fillId="3" borderId="3" xfId="0" applyNumberFormat="1" applyFont="1" applyFill="1" applyBorder="1" applyAlignment="1">
      <alignment horizontal="center" vertical="center"/>
    </xf>
    <xf numFmtId="1" fontId="1" fillId="3" borderId="1" xfId="0" applyNumberFormat="1" applyFont="1" applyFill="1" applyBorder="1" applyAlignment="1">
      <alignment horizontal="center" vertical="center"/>
    </xf>
    <xf numFmtId="1" fontId="1" fillId="3" borderId="4" xfId="0" applyNumberFormat="1" applyFont="1" applyFill="1" applyBorder="1" applyAlignment="1">
      <alignment horizontal="center" vertical="center"/>
    </xf>
    <xf numFmtId="0" fontId="1" fillId="4" borderId="3"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4" xfId="0" applyFont="1" applyFill="1" applyBorder="1" applyAlignment="1">
      <alignment horizontal="center" vertical="center"/>
    </xf>
    <xf numFmtId="3" fontId="1" fillId="2" borderId="3" xfId="0" applyNumberFormat="1" applyFont="1" applyFill="1" applyBorder="1" applyAlignment="1">
      <alignment horizontal="center" vertical="center"/>
    </xf>
    <xf numFmtId="3" fontId="1" fillId="2" borderId="1" xfId="0" applyNumberFormat="1" applyFont="1" applyFill="1" applyBorder="1" applyAlignment="1">
      <alignment horizontal="center" vertical="center"/>
    </xf>
    <xf numFmtId="3" fontId="1" fillId="2" borderId="4" xfId="0" applyNumberFormat="1"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4" xfId="0" applyFont="1" applyFill="1" applyBorder="1" applyAlignment="1">
      <alignment horizontal="center" vertical="center"/>
    </xf>
    <xf numFmtId="0" fontId="10" fillId="2" borderId="41" xfId="0" applyFont="1" applyFill="1" applyBorder="1" applyAlignment="1">
      <alignment horizontal="left" vertical="center"/>
    </xf>
    <xf numFmtId="0" fontId="10" fillId="2" borderId="40" xfId="0" applyFont="1" applyFill="1" applyBorder="1" applyAlignment="1">
      <alignment horizontal="left" vertical="center"/>
    </xf>
    <xf numFmtId="164" fontId="5" fillId="2" borderId="3"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2" borderId="8" xfId="0" applyFont="1" applyFill="1" applyBorder="1" applyAlignment="1">
      <alignment horizontal="right" vertical="center"/>
    </xf>
    <xf numFmtId="1" fontId="1" fillId="3" borderId="7" xfId="0" applyNumberFormat="1" applyFont="1" applyFill="1" applyBorder="1" applyAlignment="1">
      <alignment horizontal="center" vertical="center"/>
    </xf>
    <xf numFmtId="1" fontId="1" fillId="3" borderId="0" xfId="0" applyNumberFormat="1" applyFont="1" applyFill="1" applyBorder="1" applyAlignment="1">
      <alignment horizontal="center" vertical="center"/>
    </xf>
    <xf numFmtId="1" fontId="1" fillId="3" borderId="8" xfId="0" applyNumberFormat="1" applyFont="1" applyFill="1" applyBorder="1" applyAlignment="1">
      <alignment horizontal="center" vertical="center"/>
    </xf>
    <xf numFmtId="9" fontId="1" fillId="2" borderId="7" xfId="2" applyFont="1" applyFill="1" applyBorder="1" applyAlignment="1">
      <alignment horizontal="center" vertical="center"/>
    </xf>
    <xf numFmtId="9" fontId="1" fillId="2" borderId="0" xfId="2" applyFont="1" applyFill="1" applyBorder="1" applyAlignment="1">
      <alignment horizontal="center" vertical="center"/>
    </xf>
    <xf numFmtId="9" fontId="1" fillId="2" borderId="8" xfId="2" applyFont="1" applyFill="1" applyBorder="1" applyAlignment="1">
      <alignment horizontal="center" vertical="center"/>
    </xf>
    <xf numFmtId="3" fontId="1" fillId="2" borderId="7" xfId="0" applyNumberFormat="1" applyFont="1" applyFill="1" applyBorder="1" applyAlignment="1">
      <alignment horizontal="center" vertical="center"/>
    </xf>
    <xf numFmtId="3" fontId="1" fillId="2" borderId="0" xfId="0" applyNumberFormat="1" applyFont="1" applyFill="1" applyBorder="1" applyAlignment="1">
      <alignment horizontal="center" vertical="center"/>
    </xf>
    <xf numFmtId="3" fontId="1" fillId="2" borderId="8" xfId="0" applyNumberFormat="1" applyFont="1" applyFill="1" applyBorder="1" applyAlignment="1">
      <alignment horizontal="center" vertical="center"/>
    </xf>
    <xf numFmtId="0" fontId="1" fillId="2" borderId="7"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8" xfId="0" applyFont="1" applyFill="1" applyBorder="1" applyAlignment="1">
      <alignment horizontal="center" vertical="center"/>
    </xf>
    <xf numFmtId="164" fontId="5" fillId="2" borderId="7" xfId="0" applyNumberFormat="1" applyFont="1" applyFill="1" applyBorder="1" applyAlignment="1">
      <alignment horizontal="center" vertical="center"/>
    </xf>
    <xf numFmtId="164" fontId="5" fillId="2" borderId="0" xfId="0" applyNumberFormat="1" applyFont="1" applyFill="1" applyBorder="1" applyAlignment="1">
      <alignment horizontal="center" vertical="center"/>
    </xf>
    <xf numFmtId="1" fontId="5" fillId="2" borderId="37" xfId="0" applyNumberFormat="1" applyFont="1" applyFill="1" applyBorder="1" applyAlignment="1">
      <alignment horizontal="center" vertical="center"/>
    </xf>
    <xf numFmtId="1" fontId="5" fillId="2" borderId="68" xfId="0" applyNumberFormat="1" applyFont="1" applyFill="1" applyBorder="1" applyAlignment="1">
      <alignment horizontal="center" vertical="center"/>
    </xf>
    <xf numFmtId="1" fontId="5" fillId="2" borderId="57" xfId="0" applyNumberFormat="1" applyFont="1" applyFill="1" applyBorder="1" applyAlignment="1">
      <alignment horizontal="center" vertical="center"/>
    </xf>
    <xf numFmtId="1" fontId="1" fillId="2" borderId="7"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1" fontId="1" fillId="2" borderId="8" xfId="0" applyNumberFormat="1" applyFont="1" applyFill="1" applyBorder="1" applyAlignment="1">
      <alignment horizontal="center" vertical="center"/>
    </xf>
    <xf numFmtId="1" fontId="1" fillId="2" borderId="3" xfId="0" applyNumberFormat="1" applyFont="1" applyFill="1" applyBorder="1" applyAlignment="1">
      <alignment horizontal="center" vertical="center"/>
    </xf>
    <xf numFmtId="1" fontId="1" fillId="2" borderId="1" xfId="0" applyNumberFormat="1" applyFont="1" applyFill="1" applyBorder="1" applyAlignment="1">
      <alignment horizontal="center" vertical="center"/>
    </xf>
    <xf numFmtId="1" fontId="1" fillId="2" borderId="4" xfId="0" applyNumberFormat="1" applyFont="1" applyFill="1" applyBorder="1" applyAlignment="1">
      <alignment horizontal="center" vertical="center"/>
    </xf>
    <xf numFmtId="1" fontId="1" fillId="2" borderId="6" xfId="0" applyNumberFormat="1" applyFont="1" applyFill="1" applyBorder="1" applyAlignment="1">
      <alignment horizontal="center" vertical="center"/>
    </xf>
    <xf numFmtId="1" fontId="1" fillId="2" borderId="2" xfId="0" applyNumberFormat="1" applyFont="1" applyFill="1" applyBorder="1" applyAlignment="1">
      <alignment horizontal="center" vertical="center"/>
    </xf>
    <xf numFmtId="1" fontId="1" fillId="2" borderId="5" xfId="0" applyNumberFormat="1" applyFont="1" applyFill="1" applyBorder="1" applyAlignment="1">
      <alignment horizontal="center" vertical="center"/>
    </xf>
    <xf numFmtId="1" fontId="1" fillId="4" borderId="3" xfId="0" applyNumberFormat="1" applyFont="1" applyFill="1" applyBorder="1" applyAlignment="1">
      <alignment horizontal="center" vertical="center"/>
    </xf>
    <xf numFmtId="1" fontId="1" fillId="4" borderId="1" xfId="0" applyNumberFormat="1" applyFont="1" applyFill="1" applyBorder="1" applyAlignment="1">
      <alignment horizontal="center" vertical="center"/>
    </xf>
    <xf numFmtId="1" fontId="1" fillId="4" borderId="4" xfId="0" applyNumberFormat="1" applyFont="1" applyFill="1" applyBorder="1" applyAlignment="1">
      <alignment horizontal="center" vertical="center"/>
    </xf>
    <xf numFmtId="9" fontId="1" fillId="3" borderId="7" xfId="2" applyFont="1" applyFill="1" applyBorder="1" applyAlignment="1">
      <alignment horizontal="center" vertical="center"/>
    </xf>
    <xf numFmtId="9" fontId="1" fillId="3" borderId="0" xfId="2" applyFont="1" applyFill="1" applyBorder="1" applyAlignment="1">
      <alignment horizontal="center" vertical="center"/>
    </xf>
    <xf numFmtId="9" fontId="1" fillId="3" borderId="8" xfId="2" applyFont="1" applyFill="1" applyBorder="1" applyAlignment="1">
      <alignment horizontal="center" vertical="center"/>
    </xf>
    <xf numFmtId="9" fontId="1" fillId="4" borderId="7" xfId="2" applyFont="1" applyFill="1" applyBorder="1" applyAlignment="1">
      <alignment horizontal="center" vertical="center"/>
    </xf>
    <xf numFmtId="9" fontId="1" fillId="4" borderId="0" xfId="2" applyFont="1" applyFill="1" applyBorder="1" applyAlignment="1">
      <alignment horizontal="center" vertical="center"/>
    </xf>
    <xf numFmtId="9" fontId="1" fillId="4" borderId="8" xfId="2" applyFont="1" applyFill="1" applyBorder="1" applyAlignment="1">
      <alignment horizontal="center" vertical="center"/>
    </xf>
    <xf numFmtId="164" fontId="1" fillId="2" borderId="46" xfId="0" applyNumberFormat="1" applyFont="1" applyFill="1" applyBorder="1" applyAlignment="1">
      <alignment horizontal="center" vertical="center"/>
    </xf>
    <xf numFmtId="164" fontId="1" fillId="2" borderId="33" xfId="0" applyNumberFormat="1" applyFont="1" applyFill="1" applyBorder="1" applyAlignment="1">
      <alignment horizontal="center" vertical="center"/>
    </xf>
    <xf numFmtId="164" fontId="1" fillId="2" borderId="8" xfId="0" applyNumberFormat="1" applyFont="1" applyFill="1" applyBorder="1" applyAlignment="1">
      <alignment horizontal="center" vertical="center"/>
    </xf>
    <xf numFmtId="164" fontId="1" fillId="2" borderId="7" xfId="0" applyNumberFormat="1" applyFont="1" applyFill="1" applyBorder="1" applyAlignment="1">
      <alignment horizontal="center" vertical="center"/>
    </xf>
    <xf numFmtId="164" fontId="1" fillId="2" borderId="5" xfId="0" applyNumberFormat="1" applyFont="1" applyFill="1" applyBorder="1" applyAlignment="1">
      <alignment horizontal="center" vertical="center"/>
    </xf>
    <xf numFmtId="164" fontId="1" fillId="2" borderId="6" xfId="0" applyNumberFormat="1" applyFont="1" applyFill="1" applyBorder="1" applyAlignment="1">
      <alignment horizontal="center" vertical="center"/>
    </xf>
    <xf numFmtId="0" fontId="9" fillId="2" borderId="51" xfId="1" applyFont="1" applyFill="1" applyBorder="1" applyAlignment="1">
      <alignment horizontal="left" vertical="center"/>
    </xf>
    <xf numFmtId="164" fontId="1" fillId="2" borderId="4" xfId="0" applyNumberFormat="1" applyFont="1" applyFill="1" applyBorder="1" applyAlignment="1">
      <alignment horizontal="center" vertical="center"/>
    </xf>
    <xf numFmtId="164" fontId="1" fillId="2" borderId="3" xfId="0" applyNumberFormat="1" applyFont="1" applyFill="1" applyBorder="1" applyAlignment="1">
      <alignment horizontal="center" vertical="center"/>
    </xf>
    <xf numFmtId="0" fontId="5" fillId="0" borderId="37" xfId="0" applyFont="1" applyFill="1" applyBorder="1" applyAlignment="1">
      <alignment horizontal="center" vertical="center"/>
    </xf>
    <xf numFmtId="0" fontId="5" fillId="0" borderId="68" xfId="0" applyFont="1" applyFill="1" applyBorder="1" applyAlignment="1">
      <alignment horizontal="center" vertical="center"/>
    </xf>
    <xf numFmtId="0" fontId="5" fillId="0" borderId="57" xfId="0" applyFont="1" applyFill="1" applyBorder="1" applyAlignment="1">
      <alignment horizontal="center" vertical="center"/>
    </xf>
    <xf numFmtId="3" fontId="5" fillId="0" borderId="37" xfId="0" applyNumberFormat="1" applyFont="1" applyFill="1" applyBorder="1" applyAlignment="1">
      <alignment horizontal="center" vertical="center"/>
    </xf>
    <xf numFmtId="3" fontId="5" fillId="0" borderId="68" xfId="0" applyNumberFormat="1" applyFont="1" applyFill="1" applyBorder="1" applyAlignment="1">
      <alignment horizontal="center" vertical="center"/>
    </xf>
    <xf numFmtId="3" fontId="5" fillId="0" borderId="57" xfId="0" applyNumberFormat="1" applyFont="1" applyFill="1" applyBorder="1" applyAlignment="1">
      <alignment horizontal="center" vertical="center"/>
    </xf>
    <xf numFmtId="0" fontId="1" fillId="2" borderId="37" xfId="0" applyFont="1" applyFill="1" applyBorder="1" applyAlignment="1">
      <alignment horizontal="center" vertical="center"/>
    </xf>
    <xf numFmtId="0" fontId="1" fillId="2" borderId="68" xfId="0" applyFont="1" applyFill="1" applyBorder="1" applyAlignment="1">
      <alignment horizontal="center" vertical="center"/>
    </xf>
    <xf numFmtId="0" fontId="1" fillId="2" borderId="57" xfId="0" applyFont="1" applyFill="1" applyBorder="1" applyAlignment="1">
      <alignment horizontal="center" vertical="center"/>
    </xf>
    <xf numFmtId="164" fontId="1" fillId="2" borderId="56" xfId="0" applyNumberFormat="1" applyFont="1" applyFill="1" applyBorder="1" applyAlignment="1">
      <alignment horizontal="center" vertical="center"/>
    </xf>
    <xf numFmtId="164" fontId="1" fillId="2" borderId="16" xfId="0" applyNumberFormat="1" applyFont="1" applyFill="1" applyBorder="1" applyAlignment="1">
      <alignment horizontal="center" vertical="center"/>
    </xf>
    <xf numFmtId="164" fontId="1" fillId="2" borderId="34" xfId="0" applyNumberFormat="1" applyFont="1" applyFill="1" applyBorder="1" applyAlignment="1">
      <alignment horizontal="center" vertical="center"/>
    </xf>
    <xf numFmtId="3" fontId="1" fillId="2" borderId="34" xfId="0" applyNumberFormat="1" applyFont="1" applyFill="1" applyBorder="1" applyAlignment="1">
      <alignment horizontal="center" vertical="center"/>
    </xf>
    <xf numFmtId="3" fontId="1" fillId="2" borderId="58" xfId="0" applyNumberFormat="1" applyFont="1" applyFill="1" applyBorder="1" applyAlignment="1">
      <alignment horizontal="center" vertical="center"/>
    </xf>
    <xf numFmtId="3" fontId="1" fillId="2" borderId="56" xfId="0" applyNumberFormat="1" applyFont="1" applyFill="1" applyBorder="1" applyAlignment="1">
      <alignment horizontal="center" vertical="center"/>
    </xf>
    <xf numFmtId="2" fontId="10" fillId="2" borderId="7" xfId="0" applyNumberFormat="1" applyFont="1" applyFill="1" applyBorder="1" applyAlignment="1">
      <alignment horizontal="center" vertical="center"/>
    </xf>
    <xf numFmtId="2" fontId="10" fillId="2" borderId="3" xfId="0" applyNumberFormat="1" applyFont="1" applyFill="1" applyBorder="1" applyAlignment="1">
      <alignment horizontal="center" vertical="center"/>
    </xf>
    <xf numFmtId="2" fontId="10" fillId="2" borderId="64" xfId="0" applyNumberFormat="1" applyFont="1" applyFill="1" applyBorder="1" applyAlignment="1">
      <alignment horizontal="center" vertical="center"/>
    </xf>
    <xf numFmtId="3" fontId="1" fillId="2" borderId="6"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3" fontId="1" fillId="2" borderId="5" xfId="0" applyNumberFormat="1" applyFont="1" applyFill="1" applyBorder="1" applyAlignment="1">
      <alignment horizontal="center" vertical="center"/>
    </xf>
    <xf numFmtId="2" fontId="1" fillId="2" borderId="7" xfId="0" applyNumberFormat="1" applyFont="1" applyFill="1" applyBorder="1" applyAlignment="1">
      <alignment horizontal="center" vertical="center"/>
    </xf>
    <xf numFmtId="2" fontId="1" fillId="2" borderId="3" xfId="0" applyNumberFormat="1" applyFont="1" applyFill="1" applyBorder="1" applyAlignment="1">
      <alignment horizontal="center" vertical="center"/>
    </xf>
    <xf numFmtId="2" fontId="1" fillId="2" borderId="37" xfId="0" applyNumberFormat="1" applyFont="1" applyFill="1" applyBorder="1" applyAlignment="1">
      <alignment horizontal="center" vertical="center"/>
    </xf>
    <xf numFmtId="0" fontId="20" fillId="2" borderId="2" xfId="1" applyFont="1" applyFill="1" applyBorder="1" applyAlignment="1">
      <alignment horizontal="right" vertical="center"/>
    </xf>
    <xf numFmtId="3" fontId="10" fillId="2" borderId="6" xfId="0" applyNumberFormat="1" applyFont="1" applyFill="1" applyBorder="1" applyAlignment="1">
      <alignment horizontal="center" vertical="center"/>
    </xf>
    <xf numFmtId="3" fontId="10" fillId="2" borderId="2" xfId="0" applyNumberFormat="1" applyFont="1" applyFill="1" applyBorder="1" applyAlignment="1">
      <alignment horizontal="center" vertical="center"/>
    </xf>
    <xf numFmtId="3" fontId="10" fillId="2" borderId="5" xfId="0" applyNumberFormat="1"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2" xfId="0" applyFont="1" applyBorder="1" applyAlignment="1">
      <alignment horizontal="left" vertical="center"/>
    </xf>
    <xf numFmtId="0" fontId="22" fillId="0" borderId="13" xfId="0" applyFont="1" applyBorder="1" applyAlignment="1">
      <alignment horizontal="left" vertical="center"/>
    </xf>
    <xf numFmtId="0" fontId="22" fillId="0" borderId="14" xfId="0" applyFont="1" applyBorder="1" applyAlignment="1">
      <alignment horizontal="left" vertical="center"/>
    </xf>
    <xf numFmtId="175" fontId="12" fillId="0" borderId="12" xfId="0" applyNumberFormat="1" applyFont="1" applyBorder="1" applyAlignment="1">
      <alignment horizontal="center" vertical="center"/>
    </xf>
    <xf numFmtId="175" fontId="12" fillId="0" borderId="13" xfId="0" applyNumberFormat="1" applyFont="1" applyBorder="1" applyAlignment="1">
      <alignment horizontal="center" vertical="center"/>
    </xf>
    <xf numFmtId="175" fontId="12" fillId="0" borderId="14" xfId="0" applyNumberFormat="1" applyFont="1" applyBorder="1" applyAlignment="1">
      <alignment horizontal="center" vertical="center"/>
    </xf>
    <xf numFmtId="0" fontId="5" fillId="2" borderId="2" xfId="1" applyFont="1" applyFill="1" applyBorder="1" applyAlignment="1">
      <alignment horizontal="left" vertical="center"/>
    </xf>
    <xf numFmtId="0" fontId="5" fillId="0" borderId="2" xfId="0" applyFont="1" applyBorder="1" applyAlignment="1">
      <alignment horizontal="left"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2" fillId="0" borderId="6" xfId="0" applyFont="1" applyBorder="1" applyAlignment="1">
      <alignment horizontal="center" vertical="center"/>
    </xf>
    <xf numFmtId="0" fontId="22" fillId="0" borderId="5" xfId="0" applyFont="1" applyBorder="1" applyAlignment="1">
      <alignment horizontal="center" vertical="center"/>
    </xf>
    <xf numFmtId="0" fontId="22" fillId="0" borderId="12"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1" xfId="0" applyFont="1" applyBorder="1" applyAlignment="1">
      <alignment horizontal="center" vertical="center"/>
    </xf>
    <xf numFmtId="0" fontId="22" fillId="2" borderId="11" xfId="0" applyFont="1" applyFill="1" applyBorder="1" applyAlignment="1">
      <alignment horizontal="center" vertical="center"/>
    </xf>
    <xf numFmtId="0" fontId="22" fillId="0" borderId="3" xfId="0" applyFont="1" applyBorder="1" applyAlignment="1">
      <alignment horizontal="center" vertical="center"/>
    </xf>
    <xf numFmtId="0" fontId="22" fillId="2" borderId="11" xfId="0" applyFont="1" applyFill="1" applyBorder="1" applyAlignment="1">
      <alignment horizontal="left" vertical="center" wrapText="1"/>
    </xf>
    <xf numFmtId="177" fontId="12" fillId="0" borderId="12" xfId="0" applyNumberFormat="1" applyFont="1" applyBorder="1" applyAlignment="1">
      <alignment horizontal="center" vertical="center"/>
    </xf>
    <xf numFmtId="177" fontId="12" fillId="0" borderId="13" xfId="0" applyNumberFormat="1" applyFont="1" applyBorder="1" applyAlignment="1">
      <alignment horizontal="center" vertical="center"/>
    </xf>
    <xf numFmtId="177" fontId="12" fillId="0" borderId="14" xfId="0" applyNumberFormat="1" applyFont="1" applyBorder="1" applyAlignment="1">
      <alignment horizontal="center" vertical="center"/>
    </xf>
    <xf numFmtId="0" fontId="22" fillId="2" borderId="61" xfId="1" applyFont="1" applyFill="1" applyBorder="1" applyAlignment="1">
      <alignment horizontal="center" vertical="center"/>
    </xf>
    <xf numFmtId="0" fontId="22" fillId="2" borderId="26" xfId="1" applyFont="1" applyFill="1" applyBorder="1" applyAlignment="1">
      <alignment horizontal="center" vertical="center"/>
    </xf>
    <xf numFmtId="0" fontId="22" fillId="2" borderId="52" xfId="0" applyFont="1" applyFill="1" applyBorder="1" applyAlignment="1">
      <alignment horizontal="center" vertical="center"/>
    </xf>
    <xf numFmtId="0" fontId="22" fillId="2" borderId="28" xfId="0" applyFont="1" applyFill="1" applyBorder="1" applyAlignment="1">
      <alignment horizontal="center" vertical="center"/>
    </xf>
    <xf numFmtId="0" fontId="16" fillId="0" borderId="52" xfId="0" applyFont="1" applyFill="1" applyBorder="1" applyAlignment="1">
      <alignment horizontal="center" vertical="center"/>
    </xf>
    <xf numFmtId="0" fontId="16" fillId="0" borderId="28" xfId="0" applyFont="1" applyFill="1" applyBorder="1" applyAlignment="1">
      <alignment horizontal="center" vertical="center"/>
    </xf>
    <xf numFmtId="0" fontId="54" fillId="2" borderId="0" xfId="0" applyFont="1" applyFill="1" applyBorder="1" applyAlignment="1">
      <alignment horizontal="right" vertical="center"/>
    </xf>
    <xf numFmtId="0" fontId="16" fillId="0" borderId="77" xfId="0" applyFont="1" applyBorder="1" applyAlignment="1">
      <alignment horizontal="center" vertical="center"/>
    </xf>
    <xf numFmtId="0" fontId="16" fillId="0" borderId="27" xfId="0" applyFont="1" applyBorder="1" applyAlignment="1">
      <alignment horizontal="center" vertical="center"/>
    </xf>
    <xf numFmtId="0" fontId="50" fillId="0" borderId="63" xfId="0" applyFont="1" applyBorder="1" applyAlignment="1">
      <alignment horizontal="center" vertical="center"/>
    </xf>
    <xf numFmtId="0" fontId="50" fillId="0" borderId="66" xfId="0" applyFont="1" applyBorder="1" applyAlignment="1">
      <alignment horizontal="center" vertical="center"/>
    </xf>
    <xf numFmtId="0" fontId="50" fillId="0" borderId="65" xfId="0" applyFont="1" applyBorder="1" applyAlignment="1">
      <alignment horizontal="center" vertical="center"/>
    </xf>
    <xf numFmtId="0" fontId="51" fillId="2" borderId="0" xfId="0" applyFont="1" applyFill="1" applyBorder="1" applyAlignment="1">
      <alignment horizontal="center" vertical="center" wrapText="1"/>
    </xf>
    <xf numFmtId="0" fontId="51" fillId="2" borderId="0" xfId="0" applyFont="1" applyFill="1" applyBorder="1" applyAlignment="1">
      <alignment horizontal="center" vertical="center"/>
    </xf>
    <xf numFmtId="0" fontId="1" fillId="2" borderId="18" xfId="1" applyFont="1" applyFill="1" applyBorder="1" applyAlignment="1">
      <alignment horizontal="left" vertical="center"/>
    </xf>
    <xf numFmtId="0" fontId="1" fillId="2" borderId="11" xfId="1" applyFont="1" applyFill="1" applyBorder="1" applyAlignment="1">
      <alignment horizontal="left" vertical="center"/>
    </xf>
    <xf numFmtId="0" fontId="1" fillId="2" borderId="19" xfId="1" applyFont="1" applyFill="1" applyBorder="1" applyAlignment="1">
      <alignment horizontal="left" vertical="center"/>
    </xf>
    <xf numFmtId="0" fontId="1" fillId="2" borderId="35" xfId="1" applyFont="1" applyFill="1" applyBorder="1" applyAlignment="1">
      <alignment horizontal="left" vertical="center"/>
    </xf>
    <xf numFmtId="0" fontId="1" fillId="2" borderId="36" xfId="1" applyFont="1" applyFill="1" applyBorder="1" applyAlignment="1">
      <alignment horizontal="left" vertical="center"/>
    </xf>
    <xf numFmtId="0" fontId="1" fillId="2" borderId="38" xfId="1" applyFont="1" applyFill="1" applyBorder="1" applyAlignment="1">
      <alignment horizontal="left" vertical="center"/>
    </xf>
    <xf numFmtId="178" fontId="1" fillId="2" borderId="60" xfId="1" applyNumberFormat="1" applyFont="1" applyFill="1" applyBorder="1" applyAlignment="1">
      <alignment horizontal="center" vertical="center"/>
    </xf>
    <xf numFmtId="178" fontId="1" fillId="2" borderId="59" xfId="1" applyNumberFormat="1" applyFont="1" applyFill="1" applyBorder="1" applyAlignment="1">
      <alignment horizontal="center" vertical="center"/>
    </xf>
    <xf numFmtId="0" fontId="1" fillId="2" borderId="15" xfId="1" applyFont="1" applyFill="1" applyBorder="1" applyAlignment="1">
      <alignment horizontal="left" vertical="center"/>
    </xf>
    <xf numFmtId="0" fontId="1" fillId="2" borderId="16" xfId="1" applyFont="1" applyFill="1" applyBorder="1" applyAlignment="1">
      <alignment horizontal="left" vertical="center"/>
    </xf>
    <xf numFmtId="0" fontId="1" fillId="2" borderId="17" xfId="1" applyFont="1" applyFill="1" applyBorder="1" applyAlignment="1">
      <alignment horizontal="left" vertical="center"/>
    </xf>
    <xf numFmtId="0" fontId="5" fillId="2" borderId="18" xfId="1" applyFont="1" applyFill="1" applyBorder="1" applyAlignment="1">
      <alignment horizontal="left" vertical="center"/>
    </xf>
    <xf numFmtId="0" fontId="5" fillId="2" borderId="11" xfId="1" applyFont="1" applyFill="1" applyBorder="1" applyAlignment="1">
      <alignment horizontal="left" vertical="center"/>
    </xf>
    <xf numFmtId="0" fontId="5" fillId="2" borderId="19" xfId="1" applyFont="1" applyFill="1" applyBorder="1" applyAlignment="1">
      <alignment horizontal="left" vertical="center"/>
    </xf>
    <xf numFmtId="0" fontId="16" fillId="0" borderId="52" xfId="0" applyFont="1" applyBorder="1" applyAlignment="1">
      <alignment horizontal="center" vertical="center"/>
    </xf>
    <xf numFmtId="0" fontId="16" fillId="0" borderId="28" xfId="0" applyFont="1" applyBorder="1" applyAlignment="1">
      <alignment horizontal="center" vertical="center"/>
    </xf>
    <xf numFmtId="0" fontId="16" fillId="0" borderId="61" xfId="0" applyFont="1" applyBorder="1" applyAlignment="1">
      <alignment horizontal="center" vertical="center"/>
    </xf>
    <xf numFmtId="0" fontId="16" fillId="0" borderId="26" xfId="0" applyFont="1" applyBorder="1" applyAlignment="1">
      <alignment horizontal="center" vertical="center"/>
    </xf>
    <xf numFmtId="0" fontId="50" fillId="2" borderId="60" xfId="0" applyFont="1" applyFill="1" applyBorder="1" applyAlignment="1">
      <alignment horizontal="center" vertical="center"/>
    </xf>
    <xf numFmtId="0" fontId="50" fillId="2" borderId="58" xfId="0" applyFont="1" applyFill="1" applyBorder="1" applyAlignment="1">
      <alignment horizontal="center" vertical="center"/>
    </xf>
    <xf numFmtId="0" fontId="50" fillId="2" borderId="59" xfId="0" applyFont="1" applyFill="1" applyBorder="1" applyAlignment="1">
      <alignment horizontal="center" vertical="center"/>
    </xf>
    <xf numFmtId="0" fontId="16" fillId="0" borderId="61" xfId="0" applyFont="1" applyFill="1" applyBorder="1" applyAlignment="1">
      <alignment horizontal="center" vertical="center"/>
    </xf>
    <xf numFmtId="0" fontId="16" fillId="0" borderId="26"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27" xfId="0" applyFont="1" applyFill="1" applyBorder="1" applyAlignment="1">
      <alignment horizontal="center" vertical="center"/>
    </xf>
    <xf numFmtId="0" fontId="50" fillId="2" borderId="63" xfId="0" applyFont="1" applyFill="1" applyBorder="1" applyAlignment="1">
      <alignment horizontal="center" vertical="center"/>
    </xf>
    <xf numFmtId="0" fontId="50" fillId="2" borderId="66" xfId="0" applyFont="1" applyFill="1" applyBorder="1" applyAlignment="1">
      <alignment horizontal="center" vertical="center"/>
    </xf>
    <xf numFmtId="0" fontId="50" fillId="2" borderId="65" xfId="0" applyFont="1" applyFill="1" applyBorder="1" applyAlignment="1">
      <alignment horizontal="center" vertical="center"/>
    </xf>
    <xf numFmtId="0" fontId="50" fillId="2" borderId="39" xfId="0" applyFont="1" applyFill="1" applyBorder="1" applyAlignment="1">
      <alignment horizontal="center" vertical="center"/>
    </xf>
    <xf numFmtId="0" fontId="50" fillId="2" borderId="44" xfId="0" applyFont="1" applyFill="1" applyBorder="1" applyAlignment="1">
      <alignment horizontal="center" vertical="center"/>
    </xf>
    <xf numFmtId="0" fontId="50" fillId="2" borderId="62" xfId="0" applyFont="1" applyFill="1" applyBorder="1" applyAlignment="1">
      <alignment horizontal="center" vertical="center"/>
    </xf>
    <xf numFmtId="0" fontId="50" fillId="2" borderId="49" xfId="0" applyFont="1" applyFill="1" applyBorder="1" applyAlignment="1">
      <alignment horizontal="center" vertical="center"/>
    </xf>
    <xf numFmtId="0" fontId="16" fillId="0" borderId="39" xfId="1" applyFont="1" applyFill="1" applyBorder="1" applyAlignment="1">
      <alignment horizontal="center" vertical="center"/>
    </xf>
    <xf numFmtId="0" fontId="16" fillId="0" borderId="42" xfId="1" applyFont="1" applyFill="1" applyBorder="1" applyAlignment="1">
      <alignment horizontal="center" vertical="center"/>
    </xf>
    <xf numFmtId="0" fontId="16" fillId="0" borderId="45" xfId="1" applyFont="1" applyFill="1" applyBorder="1" applyAlignment="1">
      <alignment horizontal="center" vertical="center"/>
    </xf>
    <xf numFmtId="0" fontId="16" fillId="0" borderId="41"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50" xfId="0" applyFont="1" applyFill="1" applyBorder="1" applyAlignment="1">
      <alignment horizontal="center" vertical="center"/>
    </xf>
    <xf numFmtId="0" fontId="50" fillId="2" borderId="41" xfId="0" applyFont="1" applyFill="1" applyBorder="1" applyAlignment="1">
      <alignment horizontal="center" vertical="center"/>
    </xf>
    <xf numFmtId="0" fontId="50" fillId="2" borderId="2" xfId="0" applyFont="1" applyFill="1" applyBorder="1" applyAlignment="1">
      <alignment horizontal="center" vertical="center"/>
    </xf>
    <xf numFmtId="0" fontId="50" fillId="0" borderId="41" xfId="0" applyFont="1" applyFill="1" applyBorder="1" applyAlignment="1">
      <alignment horizontal="center" vertical="center"/>
    </xf>
    <xf numFmtId="0" fontId="50" fillId="0" borderId="2" xfId="0" applyFont="1" applyFill="1" applyBorder="1" applyAlignment="1">
      <alignment horizontal="center" vertical="center"/>
    </xf>
    <xf numFmtId="0" fontId="9" fillId="0" borderId="62" xfId="1" applyFont="1" applyFill="1" applyBorder="1" applyAlignment="1">
      <alignment horizontal="center" vertical="center"/>
    </xf>
    <xf numFmtId="0" fontId="9" fillId="0" borderId="49" xfId="1" applyFont="1" applyFill="1" applyBorder="1" applyAlignment="1">
      <alignment horizontal="center" vertical="center"/>
    </xf>
    <xf numFmtId="0" fontId="50" fillId="2" borderId="73" xfId="0" applyFont="1" applyFill="1" applyBorder="1" applyAlignment="1">
      <alignment horizontal="center" vertical="center"/>
    </xf>
    <xf numFmtId="0" fontId="50" fillId="2" borderId="88" xfId="0" applyFont="1" applyFill="1" applyBorder="1" applyAlignment="1">
      <alignment horizontal="center" vertical="center"/>
    </xf>
    <xf numFmtId="0" fontId="12" fillId="2" borderId="18" xfId="1" applyFont="1" applyFill="1" applyBorder="1" applyAlignment="1">
      <alignment horizontal="center" vertical="center"/>
    </xf>
    <xf numFmtId="0" fontId="12" fillId="2" borderId="19" xfId="1" applyFont="1" applyFill="1" applyBorder="1" applyAlignment="1">
      <alignment horizontal="center" vertical="center"/>
    </xf>
    <xf numFmtId="0" fontId="12" fillId="2" borderId="35" xfId="1" applyFont="1" applyFill="1" applyBorder="1" applyAlignment="1">
      <alignment horizontal="center" vertical="center"/>
    </xf>
    <xf numFmtId="0" fontId="12" fillId="2" borderId="38"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17" xfId="1" applyFont="1" applyFill="1" applyBorder="1" applyAlignment="1">
      <alignment horizontal="center" vertical="center"/>
    </xf>
    <xf numFmtId="0" fontId="12" fillId="2" borderId="20" xfId="1" applyFont="1" applyFill="1" applyBorder="1" applyAlignment="1">
      <alignment horizontal="center" vertical="center"/>
    </xf>
    <xf numFmtId="0" fontId="12" fillId="2" borderId="21" xfId="1" applyFont="1" applyFill="1" applyBorder="1" applyAlignment="1">
      <alignment horizontal="center" vertical="center"/>
    </xf>
    <xf numFmtId="0" fontId="12" fillId="2" borderId="0" xfId="1" applyFont="1" applyFill="1" applyBorder="1" applyAlignment="1">
      <alignment horizontal="center" vertical="center"/>
    </xf>
    <xf numFmtId="0" fontId="22" fillId="2" borderId="0" xfId="1" applyFont="1" applyFill="1" applyBorder="1" applyAlignment="1">
      <alignment horizontal="center" vertical="center"/>
    </xf>
    <xf numFmtId="0" fontId="22" fillId="2" borderId="29" xfId="1" applyFont="1" applyFill="1" applyBorder="1" applyAlignment="1">
      <alignment horizontal="center" vertical="center"/>
    </xf>
    <xf numFmtId="0" fontId="22" fillId="2" borderId="31" xfId="1" applyFont="1" applyFill="1" applyBorder="1" applyAlignment="1">
      <alignment horizontal="center" vertical="center"/>
    </xf>
    <xf numFmtId="0" fontId="9" fillId="2" borderId="18" xfId="1" applyFont="1" applyFill="1" applyBorder="1" applyAlignment="1">
      <alignment horizontal="center" vertical="center"/>
    </xf>
    <xf numFmtId="0" fontId="9" fillId="2" borderId="19" xfId="1" applyFont="1" applyFill="1" applyBorder="1" applyAlignment="1">
      <alignment horizontal="center" vertical="center"/>
    </xf>
    <xf numFmtId="177" fontId="16" fillId="0" borderId="63" xfId="0" applyNumberFormat="1" applyFont="1" applyFill="1" applyBorder="1" applyAlignment="1">
      <alignment horizontal="center" vertical="center"/>
    </xf>
    <xf numFmtId="177" fontId="16" fillId="0" borderId="65" xfId="0" applyNumberFormat="1" applyFont="1" applyFill="1" applyBorder="1" applyAlignment="1">
      <alignment horizontal="center" vertical="center"/>
    </xf>
    <xf numFmtId="0" fontId="7" fillId="2" borderId="32" xfId="0" applyFont="1" applyFill="1" applyBorder="1" applyAlignment="1">
      <alignment horizontal="center" vertical="center"/>
    </xf>
    <xf numFmtId="0" fontId="7" fillId="2" borderId="54" xfId="0" applyFont="1" applyFill="1" applyBorder="1" applyAlignment="1">
      <alignment horizontal="center" vertical="center"/>
    </xf>
    <xf numFmtId="0" fontId="7" fillId="2" borderId="53" xfId="0" applyFont="1" applyFill="1" applyBorder="1" applyAlignment="1">
      <alignment horizontal="center" vertical="center"/>
    </xf>
    <xf numFmtId="0" fontId="7" fillId="2" borderId="32" xfId="1" applyFont="1" applyFill="1" applyBorder="1" applyAlignment="1">
      <alignment horizontal="center" vertical="center"/>
    </xf>
    <xf numFmtId="0" fontId="7" fillId="2" borderId="54" xfId="1" applyFont="1" applyFill="1" applyBorder="1" applyAlignment="1">
      <alignment horizontal="center" vertical="center"/>
    </xf>
    <xf numFmtId="0" fontId="7" fillId="2" borderId="53" xfId="1" applyFont="1" applyFill="1" applyBorder="1" applyAlignment="1">
      <alignment horizontal="center" vertical="center"/>
    </xf>
    <xf numFmtId="0" fontId="9" fillId="2" borderId="70" xfId="1" applyFont="1" applyFill="1" applyBorder="1" applyAlignment="1">
      <alignment horizontal="center" vertical="center"/>
    </xf>
    <xf numFmtId="167" fontId="1" fillId="2" borderId="32" xfId="1" applyNumberFormat="1" applyFill="1" applyBorder="1" applyAlignment="1">
      <alignment horizontal="center" vertical="center"/>
    </xf>
    <xf numFmtId="167" fontId="1" fillId="2" borderId="53" xfId="1" applyNumberFormat="1" applyFill="1" applyBorder="1" applyAlignment="1">
      <alignment horizontal="center" vertical="center"/>
    </xf>
    <xf numFmtId="0" fontId="1" fillId="2" borderId="32" xfId="1" applyFill="1" applyBorder="1" applyAlignment="1">
      <alignment horizontal="center" vertical="center"/>
    </xf>
    <xf numFmtId="0" fontId="1" fillId="2" borderId="54" xfId="1" applyFill="1" applyBorder="1" applyAlignment="1">
      <alignment horizontal="center" vertical="center"/>
    </xf>
    <xf numFmtId="0" fontId="1" fillId="2" borderId="53" xfId="1" applyFill="1" applyBorder="1" applyAlignment="1">
      <alignment horizontal="center" vertical="center"/>
    </xf>
    <xf numFmtId="0" fontId="1" fillId="2" borderId="11" xfId="1" applyFill="1" applyBorder="1" applyAlignment="1">
      <alignment horizontal="center" vertical="center"/>
    </xf>
    <xf numFmtId="0" fontId="9" fillId="2" borderId="11" xfId="1" applyFont="1" applyFill="1" applyBorder="1" applyAlignment="1">
      <alignment horizontal="center" vertical="center"/>
    </xf>
    <xf numFmtId="0" fontId="9" fillId="2" borderId="32" xfId="1" applyFont="1" applyFill="1" applyBorder="1" applyAlignment="1">
      <alignment horizontal="center" vertical="center"/>
    </xf>
    <xf numFmtId="0" fontId="9" fillId="2" borderId="54" xfId="1" applyFont="1" applyFill="1" applyBorder="1" applyAlignment="1">
      <alignment horizontal="center" vertical="center"/>
    </xf>
    <xf numFmtId="0" fontId="9" fillId="2" borderId="53" xfId="1" applyFont="1" applyFill="1" applyBorder="1" applyAlignment="1">
      <alignment horizontal="center" vertical="center"/>
    </xf>
    <xf numFmtId="178" fontId="1" fillId="2" borderId="32" xfId="1" applyNumberFormat="1" applyFont="1" applyFill="1" applyBorder="1" applyAlignment="1">
      <alignment horizontal="center" vertical="center"/>
    </xf>
    <xf numFmtId="178" fontId="1" fillId="2" borderId="54" xfId="1" applyNumberFormat="1" applyFont="1" applyFill="1" applyBorder="1" applyAlignment="1">
      <alignment horizontal="center" vertical="center"/>
    </xf>
    <xf numFmtId="178" fontId="1" fillId="2" borderId="53" xfId="1" applyNumberFormat="1" applyFont="1" applyFill="1" applyBorder="1" applyAlignment="1">
      <alignment horizontal="center" vertical="center"/>
    </xf>
    <xf numFmtId="0" fontId="9" fillId="2" borderId="3" xfId="1" applyFont="1" applyFill="1" applyBorder="1" applyAlignment="1">
      <alignment horizontal="center" vertical="center"/>
    </xf>
    <xf numFmtId="0" fontId="9" fillId="2" borderId="1" xfId="1" applyFont="1" applyFill="1" applyBorder="1" applyAlignment="1">
      <alignment horizontal="center" vertical="center"/>
    </xf>
    <xf numFmtId="0" fontId="9" fillId="2" borderId="4" xfId="1" applyFont="1" applyFill="1" applyBorder="1" applyAlignment="1">
      <alignment horizontal="center" vertical="center"/>
    </xf>
    <xf numFmtId="0" fontId="9" fillId="2" borderId="6" xfId="1" applyFont="1" applyFill="1" applyBorder="1" applyAlignment="1">
      <alignment horizontal="center" vertical="center"/>
    </xf>
    <xf numFmtId="0" fontId="9" fillId="2" borderId="2" xfId="1" applyFont="1" applyFill="1" applyBorder="1" applyAlignment="1">
      <alignment horizontal="center" vertical="center"/>
    </xf>
    <xf numFmtId="0" fontId="9" fillId="2" borderId="5" xfId="1" applyFont="1" applyFill="1" applyBorder="1" applyAlignment="1">
      <alignment horizontal="center" vertical="center"/>
    </xf>
    <xf numFmtId="0" fontId="1" fillId="2" borderId="32" xfId="1" applyFont="1" applyFill="1" applyBorder="1" applyAlignment="1">
      <alignment horizontal="center" vertical="center"/>
    </xf>
    <xf numFmtId="0" fontId="1" fillId="2" borderId="54" xfId="1" applyFont="1" applyFill="1" applyBorder="1" applyAlignment="1">
      <alignment horizontal="center" vertical="center"/>
    </xf>
    <xf numFmtId="0" fontId="1" fillId="2" borderId="53" xfId="1" applyFont="1" applyFill="1" applyBorder="1" applyAlignment="1">
      <alignment horizontal="center" vertical="center"/>
    </xf>
    <xf numFmtId="179" fontId="1" fillId="2" borderId="32" xfId="1" applyNumberFormat="1" applyFont="1" applyFill="1" applyBorder="1" applyAlignment="1">
      <alignment horizontal="center" vertical="center"/>
    </xf>
    <xf numFmtId="179" fontId="1" fillId="2" borderId="54" xfId="1" applyNumberFormat="1" applyFont="1" applyFill="1" applyBorder="1" applyAlignment="1">
      <alignment horizontal="center" vertical="center"/>
    </xf>
    <xf numFmtId="179" fontId="1" fillId="2" borderId="53" xfId="1" applyNumberFormat="1" applyFont="1" applyFill="1" applyBorder="1" applyAlignment="1">
      <alignment horizontal="center" vertical="center"/>
    </xf>
    <xf numFmtId="0" fontId="1" fillId="2" borderId="11" xfId="1" applyFont="1" applyFill="1" applyBorder="1" applyAlignment="1">
      <alignment horizontal="center" vertical="center"/>
    </xf>
    <xf numFmtId="0" fontId="8" fillId="2" borderId="50" xfId="1" applyFont="1" applyFill="1" applyBorder="1" applyAlignment="1">
      <alignment horizontal="left" vertical="center" wrapText="1"/>
    </xf>
    <xf numFmtId="0" fontId="1" fillId="0" borderId="0" xfId="1" applyFill="1" applyAlignment="1">
      <alignment horizontal="center" vertical="center"/>
    </xf>
    <xf numFmtId="0" fontId="1" fillId="2" borderId="0" xfId="1" applyFont="1" applyFill="1" applyAlignment="1">
      <alignment horizontal="left" vertical="center" wrapText="1"/>
    </xf>
    <xf numFmtId="0" fontId="1" fillId="2" borderId="67" xfId="1" applyFill="1" applyBorder="1" applyAlignment="1">
      <alignment horizontal="center" vertical="center"/>
    </xf>
    <xf numFmtId="0" fontId="1" fillId="2" borderId="68" xfId="1" applyFill="1" applyBorder="1" applyAlignment="1">
      <alignment horizontal="center" vertical="center"/>
    </xf>
    <xf numFmtId="0" fontId="1" fillId="2" borderId="69" xfId="1" applyFill="1" applyBorder="1" applyAlignment="1">
      <alignment horizontal="center" vertical="center"/>
    </xf>
    <xf numFmtId="179" fontId="1" fillId="2" borderId="35" xfId="1" applyNumberFormat="1" applyFont="1" applyFill="1" applyBorder="1" applyAlignment="1">
      <alignment horizontal="center" vertical="center"/>
    </xf>
    <xf numFmtId="179" fontId="1" fillId="2" borderId="36" xfId="1" applyNumberFormat="1" applyFont="1" applyFill="1" applyBorder="1" applyAlignment="1">
      <alignment horizontal="center" vertical="center"/>
    </xf>
    <xf numFmtId="179" fontId="1" fillId="2" borderId="38" xfId="1" applyNumberFormat="1" applyFont="1" applyFill="1" applyBorder="1" applyAlignment="1">
      <alignment horizontal="center" vertical="center"/>
    </xf>
    <xf numFmtId="179" fontId="1" fillId="2" borderId="11" xfId="1" applyNumberFormat="1" applyFont="1" applyFill="1" applyBorder="1" applyAlignment="1">
      <alignment horizontal="center" vertical="center"/>
    </xf>
    <xf numFmtId="179" fontId="1" fillId="2" borderId="19" xfId="1" applyNumberFormat="1" applyFont="1" applyFill="1" applyBorder="1" applyAlignment="1">
      <alignment horizontal="center" vertical="center"/>
    </xf>
    <xf numFmtId="0" fontId="1" fillId="2" borderId="55" xfId="1" applyFill="1" applyBorder="1" applyAlignment="1">
      <alignment horizontal="center" vertical="center"/>
    </xf>
    <xf numFmtId="0" fontId="1" fillId="2" borderId="72" xfId="1" applyFill="1" applyBorder="1" applyAlignment="1">
      <alignment horizontal="center" vertical="center"/>
    </xf>
    <xf numFmtId="179" fontId="1" fillId="2" borderId="18" xfId="1" applyNumberFormat="1" applyFont="1" applyFill="1" applyBorder="1" applyAlignment="1">
      <alignment horizontal="center" vertical="center"/>
    </xf>
    <xf numFmtId="0" fontId="9" fillId="2" borderId="44"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9" fillId="2" borderId="5" xfId="1" applyFont="1" applyFill="1" applyBorder="1" applyAlignment="1">
      <alignment horizontal="center" vertical="center" wrapText="1"/>
    </xf>
    <xf numFmtId="0" fontId="9" fillId="2" borderId="64" xfId="1" applyFont="1" applyFill="1" applyBorder="1" applyAlignment="1">
      <alignment horizontal="center" vertical="center" wrapText="1"/>
    </xf>
    <xf numFmtId="0" fontId="9" fillId="2" borderId="6" xfId="1" applyFont="1" applyFill="1" applyBorder="1" applyAlignment="1">
      <alignment horizontal="center" vertical="center" wrapText="1"/>
    </xf>
    <xf numFmtId="0" fontId="9" fillId="2" borderId="64" xfId="1" applyFont="1" applyFill="1" applyBorder="1" applyAlignment="1">
      <alignment horizontal="center" vertical="center"/>
    </xf>
    <xf numFmtId="0" fontId="9" fillId="2" borderId="7" xfId="1" applyFont="1" applyFill="1" applyBorder="1" applyAlignment="1">
      <alignment horizontal="center" vertical="center"/>
    </xf>
    <xf numFmtId="0" fontId="9" fillId="2" borderId="47" xfId="1" applyFont="1" applyFill="1" applyBorder="1" applyAlignment="1">
      <alignment horizontal="center" vertical="center"/>
    </xf>
    <xf numFmtId="0" fontId="9" fillId="2" borderId="33" xfId="1" applyFont="1" applyFill="1" applyBorder="1" applyAlignment="1">
      <alignment horizontal="center" vertical="center"/>
    </xf>
    <xf numFmtId="179" fontId="1" fillId="2" borderId="16" xfId="1" applyNumberFormat="1" applyFont="1" applyFill="1" applyBorder="1" applyAlignment="1">
      <alignment horizontal="center" vertical="center"/>
    </xf>
    <xf numFmtId="179" fontId="1" fillId="2" borderId="17" xfId="1" applyNumberFormat="1" applyFont="1" applyFill="1" applyBorder="1" applyAlignment="1">
      <alignment horizontal="center" vertical="center"/>
    </xf>
    <xf numFmtId="0" fontId="9" fillId="2" borderId="67" xfId="1" applyFont="1" applyFill="1" applyBorder="1" applyAlignment="1">
      <alignment horizontal="center" vertical="center"/>
    </xf>
    <xf numFmtId="0" fontId="9" fillId="2" borderId="57" xfId="1" applyFont="1" applyFill="1" applyBorder="1" applyAlignment="1">
      <alignment horizontal="center" vertical="center"/>
    </xf>
    <xf numFmtId="0" fontId="1" fillId="2" borderId="60" xfId="1" applyFill="1" applyBorder="1" applyAlignment="1">
      <alignment horizontal="center" vertical="center"/>
    </xf>
    <xf numFmtId="0" fontId="1" fillId="2" borderId="58" xfId="1" applyFill="1" applyBorder="1" applyAlignment="1">
      <alignment horizontal="center" vertical="center"/>
    </xf>
    <xf numFmtId="0" fontId="1" fillId="2" borderId="59" xfId="1" applyFill="1" applyBorder="1" applyAlignment="1">
      <alignment horizontal="center" vertical="center"/>
    </xf>
    <xf numFmtId="179" fontId="1" fillId="2" borderId="15" xfId="1" applyNumberFormat="1" applyFont="1" applyFill="1" applyBorder="1" applyAlignment="1">
      <alignment horizontal="center" vertical="center"/>
    </xf>
    <xf numFmtId="179" fontId="1" fillId="2" borderId="18" xfId="1" applyNumberFormat="1" applyFill="1" applyBorder="1" applyAlignment="1">
      <alignment horizontal="center" vertical="center"/>
    </xf>
    <xf numFmtId="179" fontId="1" fillId="2" borderId="11" xfId="1" applyNumberFormat="1" applyFill="1" applyBorder="1" applyAlignment="1">
      <alignment horizontal="center" vertical="center"/>
    </xf>
    <xf numFmtId="179" fontId="1" fillId="2" borderId="15" xfId="1" applyNumberFormat="1" applyFill="1" applyBorder="1" applyAlignment="1">
      <alignment horizontal="center" vertical="center"/>
    </xf>
    <xf numFmtId="179" fontId="1" fillId="2" borderId="16" xfId="1" applyNumberFormat="1" applyFill="1" applyBorder="1" applyAlignment="1">
      <alignment horizontal="center" vertical="center"/>
    </xf>
    <xf numFmtId="0" fontId="9" fillId="2" borderId="11" xfId="1" applyFont="1" applyFill="1" applyBorder="1" applyAlignment="1">
      <alignment horizontal="left" vertical="center" wrapText="1"/>
    </xf>
    <xf numFmtId="0" fontId="9" fillId="2" borderId="11" xfId="1" applyFont="1" applyFill="1" applyBorder="1" applyAlignment="1">
      <alignment horizontal="center" vertical="center" wrapText="1"/>
    </xf>
    <xf numFmtId="3" fontId="1" fillId="2" borderId="11" xfId="1" applyNumberFormat="1" applyFont="1" applyFill="1" applyBorder="1" applyAlignment="1">
      <alignment horizontal="center" vertical="center"/>
    </xf>
    <xf numFmtId="0" fontId="9" fillId="2" borderId="11" xfId="0" applyFont="1" applyFill="1" applyBorder="1" applyAlignment="1">
      <alignment horizontal="left" vertical="center" wrapText="1"/>
    </xf>
    <xf numFmtId="3" fontId="9" fillId="2" borderId="11" xfId="1" applyNumberFormat="1" applyFont="1" applyFill="1" applyBorder="1" applyAlignment="1">
      <alignment horizontal="center" vertical="center"/>
    </xf>
    <xf numFmtId="3" fontId="1" fillId="2" borderId="32" xfId="1" applyNumberFormat="1" applyFont="1" applyFill="1" applyBorder="1" applyAlignment="1">
      <alignment horizontal="center" vertical="center"/>
    </xf>
    <xf numFmtId="3" fontId="1" fillId="2" borderId="54" xfId="1" applyNumberFormat="1" applyFont="1" applyFill="1" applyBorder="1" applyAlignment="1">
      <alignment horizontal="center" vertical="center"/>
    </xf>
    <xf numFmtId="3" fontId="1" fillId="2" borderId="53" xfId="1" applyNumberFormat="1" applyFont="1" applyFill="1" applyBorder="1" applyAlignment="1">
      <alignment horizontal="center" vertical="center"/>
    </xf>
    <xf numFmtId="178" fontId="1" fillId="2" borderId="11" xfId="1" applyNumberFormat="1" applyFont="1" applyFill="1" applyBorder="1" applyAlignment="1">
      <alignment horizontal="center" vertical="center"/>
    </xf>
    <xf numFmtId="167" fontId="1" fillId="2" borderId="11" xfId="1" applyNumberFormat="1" applyFill="1" applyBorder="1" applyAlignment="1">
      <alignment horizontal="center" vertical="center"/>
    </xf>
    <xf numFmtId="167" fontId="1" fillId="2" borderId="3" xfId="1" applyNumberFormat="1" applyFill="1" applyBorder="1" applyAlignment="1">
      <alignment horizontal="center" vertical="center"/>
    </xf>
    <xf numFmtId="167" fontId="1" fillId="2" borderId="4" xfId="1" applyNumberFormat="1" applyFill="1" applyBorder="1" applyAlignment="1">
      <alignment horizontal="center" vertical="center"/>
    </xf>
    <xf numFmtId="0" fontId="1" fillId="2" borderId="32" xfId="1" applyFont="1" applyFill="1" applyBorder="1" applyAlignment="1">
      <alignment horizontal="left" vertical="center"/>
    </xf>
    <xf numFmtId="0" fontId="1" fillId="2" borderId="54" xfId="1" applyFont="1" applyFill="1" applyBorder="1" applyAlignment="1">
      <alignment horizontal="left" vertical="center"/>
    </xf>
    <xf numFmtId="0" fontId="1" fillId="2" borderId="53" xfId="1" applyFont="1" applyFill="1" applyBorder="1" applyAlignment="1">
      <alignment horizontal="left" vertical="center"/>
    </xf>
    <xf numFmtId="0" fontId="1" fillId="2" borderId="12" xfId="1" applyFont="1" applyFill="1" applyBorder="1" applyAlignment="1">
      <alignment horizontal="left" vertical="center"/>
    </xf>
    <xf numFmtId="0" fontId="9" fillId="2" borderId="3" xfId="1" applyFont="1" applyFill="1" applyBorder="1" applyAlignment="1">
      <alignment horizontal="center" vertical="center" wrapText="1"/>
    </xf>
    <xf numFmtId="0" fontId="9" fillId="2" borderId="4" xfId="1" applyFont="1" applyFill="1" applyBorder="1" applyAlignment="1">
      <alignment horizontal="center" vertical="center" wrapText="1"/>
    </xf>
  </cellXfs>
  <cellStyles count="8">
    <cellStyle name="Comma" xfId="5" builtinId="3"/>
    <cellStyle name="Currency" xfId="6" builtinId="4"/>
    <cellStyle name="Good" xfId="7" builtinId="26"/>
    <cellStyle name="Hyperlink" xfId="3" builtinId="8"/>
    <cellStyle name="Normal" xfId="0" builtinId="0"/>
    <cellStyle name="Normal 2" xfId="1"/>
    <cellStyle name="Percent" xfId="2" builtinId="5"/>
    <cellStyle name="Percent 2" xfId="4"/>
  </cellStyles>
  <dxfs count="9">
    <dxf>
      <font>
        <color rgb="FF006100"/>
      </font>
      <fill>
        <patternFill>
          <bgColor rgb="FFC6EFCE"/>
        </patternFill>
      </fill>
    </dxf>
    <dxf>
      <font>
        <color rgb="FFFF0000"/>
      </font>
      <fill>
        <patternFill patternType="none">
          <bgColor auto="1"/>
        </patternFill>
      </fill>
    </dxf>
    <dxf>
      <fill>
        <patternFill>
          <bgColor rgb="FF00C459"/>
        </patternFill>
      </fill>
    </dxf>
    <dxf>
      <fill>
        <patternFill>
          <bgColor rgb="FF8BCD43"/>
        </patternFill>
      </fill>
    </dxf>
    <dxf>
      <fill>
        <patternFill>
          <bgColor rgb="FFAAD997"/>
        </patternFill>
      </fill>
    </dxf>
    <dxf>
      <fill>
        <patternFill>
          <bgColor rgb="FFFFFF5D"/>
        </patternFill>
      </fill>
    </dxf>
    <dxf>
      <fill>
        <patternFill>
          <bgColor rgb="FFF4C80C"/>
        </patternFill>
      </fill>
    </dxf>
    <dxf>
      <fill>
        <patternFill>
          <bgColor rgb="FFFFB469"/>
        </patternFill>
      </fill>
    </dxf>
    <dxf>
      <fill>
        <patternFill>
          <bgColor rgb="FFFF6A47"/>
        </patternFill>
      </fill>
    </dxf>
  </dxfs>
  <tableStyles count="0" defaultTableStyle="TableStyleMedium2" defaultPivotStyle="PivotStyleLight16"/>
  <colors>
    <mruColors>
      <color rgb="FFFF00FF"/>
      <color rgb="FFDC0000"/>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000" b="1">
                <a:latin typeface="Arial" panose="020B0604020202020204" pitchFamily="34" charset="0"/>
                <a:cs typeface="Arial" panose="020B0604020202020204" pitchFamily="34" charset="0"/>
              </a:rPr>
              <a:t>Summary of Energy Costs by profile</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cked"/>
        <c:varyColors val="0"/>
        <c:ser>
          <c:idx val="0"/>
          <c:order val="0"/>
          <c:spPr>
            <a:ln w="22225" cap="rnd">
              <a:solidFill>
                <a:schemeClr val="bg1">
                  <a:lumMod val="75000"/>
                </a:schemeClr>
              </a:solidFill>
              <a:round/>
            </a:ln>
            <a:effectLst/>
          </c:spPr>
          <c:marker>
            <c:symbol val="none"/>
          </c:marker>
          <c:cat>
            <c:strRef>
              <c:f>'Burn Profiles'!$B$134:$B$145</c:f>
              <c:strCache>
                <c:ptCount val="12"/>
                <c:pt idx="0">
                  <c:v>Profile 1</c:v>
                </c:pt>
                <c:pt idx="1">
                  <c:v>Profile 2A</c:v>
                </c:pt>
                <c:pt idx="2">
                  <c:v>Profile 2B</c:v>
                </c:pt>
                <c:pt idx="3">
                  <c:v>Profile 2C</c:v>
                </c:pt>
                <c:pt idx="4">
                  <c:v>Profile 3A</c:v>
                </c:pt>
                <c:pt idx="5">
                  <c:v>Profile 3B</c:v>
                </c:pt>
                <c:pt idx="6">
                  <c:v>Profile 3C</c:v>
                </c:pt>
                <c:pt idx="7">
                  <c:v>Profile 4A</c:v>
                </c:pt>
                <c:pt idx="8">
                  <c:v>Profile 4B</c:v>
                </c:pt>
                <c:pt idx="9">
                  <c:v>Profile 4C</c:v>
                </c:pt>
                <c:pt idx="10">
                  <c:v>Profile 4D</c:v>
                </c:pt>
                <c:pt idx="11">
                  <c:v>PNSO</c:v>
                </c:pt>
              </c:strCache>
            </c:strRef>
          </c:cat>
          <c:val>
            <c:numRef>
              <c:f>'Burn Profiles'!$D$134:$D$145</c:f>
              <c:numCache>
                <c:formatCode>_-[$€-2]\ * #,##0.00_-;\-[$€-2]\ * #,##0.00_-;_-[$€-2]\ * "-"??_-;_-@_-</c:formatCode>
                <c:ptCount val="12"/>
                <c:pt idx="0">
                  <c:v>146479.82142857145</c:v>
                </c:pt>
                <c:pt idx="1">
                  <c:v>129634.64196428572</c:v>
                </c:pt>
                <c:pt idx="2">
                  <c:v>124244.18453571427</c:v>
                </c:pt>
                <c:pt idx="3">
                  <c:v>112789.46250000001</c:v>
                </c:pt>
                <c:pt idx="4">
                  <c:v>118648.65535714287</c:v>
                </c:pt>
                <c:pt idx="5">
                  <c:v>109742.68221428573</c:v>
                </c:pt>
                <c:pt idx="6">
                  <c:v>90817.489285714299</c:v>
                </c:pt>
                <c:pt idx="7">
                  <c:v>88986.491517857154</c:v>
                </c:pt>
                <c:pt idx="8">
                  <c:v>88400.572232142877</c:v>
                </c:pt>
                <c:pt idx="9">
                  <c:v>84841.112571428588</c:v>
                </c:pt>
                <c:pt idx="10">
                  <c:v>72741.879321428569</c:v>
                </c:pt>
                <c:pt idx="11">
                  <c:v>73239.910714285725</c:v>
                </c:pt>
              </c:numCache>
            </c:numRef>
          </c:val>
          <c:smooth val="0"/>
          <c:extLst xmlns:c16r2="http://schemas.microsoft.com/office/drawing/2015/06/chart">
            <c:ext xmlns:c16="http://schemas.microsoft.com/office/drawing/2014/chart" uri="{C3380CC4-5D6E-409C-BE32-E72D297353CC}">
              <c16:uniqueId val="{00000000-7B88-4080-A678-46752B6B2E02}"/>
            </c:ext>
          </c:extLst>
        </c:ser>
        <c:dLbls>
          <c:showLegendKey val="0"/>
          <c:showVal val="0"/>
          <c:showCatName val="0"/>
          <c:showSerName val="0"/>
          <c:showPercent val="0"/>
          <c:showBubbleSize val="0"/>
        </c:dLbls>
        <c:dropLines>
          <c:spPr>
            <a:ln w="9525">
              <a:solidFill>
                <a:schemeClr val="tx1">
                  <a:lumMod val="35000"/>
                  <a:lumOff val="65000"/>
                </a:schemeClr>
              </a:solidFill>
            </a:ln>
            <a:effectLst/>
          </c:spPr>
        </c:dropLines>
        <c:smooth val="0"/>
        <c:axId val="633473744"/>
        <c:axId val="633474528"/>
      </c:lineChart>
      <c:catAx>
        <c:axId val="633473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474528"/>
        <c:crosses val="autoZero"/>
        <c:auto val="1"/>
        <c:lblAlgn val="ctr"/>
        <c:lblOffset val="100"/>
        <c:noMultiLvlLbl val="0"/>
      </c:catAx>
      <c:valAx>
        <c:axId val="6334745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title>
          <c:tx>
            <c:rich>
              <a:bodyPr rot="-5400000" spcFirstLastPara="1" vertOverflow="ellipsis" vert="horz" wrap="square" anchor="ctr" anchorCtr="1"/>
              <a:lstStyle/>
              <a:p>
                <a:pPr>
                  <a:defRPr sz="800" b="0"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cost per annum</a:t>
                </a:r>
              </a:p>
            </c:rich>
          </c:tx>
          <c:overlay val="0"/>
          <c:spPr>
            <a:noFill/>
            <a:ln>
              <a:noFill/>
            </a:ln>
            <a:effectLst/>
          </c:spPr>
          <c:txPr>
            <a:bodyPr rot="-5400000" spcFirstLastPara="1" vertOverflow="ellipsis" vert="horz" wrap="square" anchor="ctr" anchorCtr="1"/>
            <a:lstStyle/>
            <a:p>
              <a:pPr>
                <a:defRPr sz="800" b="0"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2]\ * #,##0.00_-;\-[$€-2]\ * #,##0.00_-;_-[$€-2]\ * &quot;-&quot;??_-;_-@_-"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47374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latin typeface="Arial" panose="020B0604020202020204" pitchFamily="34" charset="0"/>
                <a:cs typeface="Arial" panose="020B0604020202020204" pitchFamily="34" charset="0"/>
              </a:rPr>
              <a:t>Summary of Energy Costs by profile</a:t>
            </a:r>
          </a:p>
        </c:rich>
      </c:tx>
      <c:overlay val="0"/>
      <c:spPr>
        <a:noFill/>
        <a:ln>
          <a:noFill/>
        </a:ln>
        <a:effectLst/>
      </c:spPr>
      <c:txPr>
        <a:bodyPr rot="0" spcFirstLastPara="1" vertOverflow="ellipsis" vert="horz" wrap="square" anchor="ctr" anchorCtr="1"/>
        <a:lstStyle/>
        <a:p>
          <a:pPr>
            <a:defRPr sz="96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cked"/>
        <c:varyColors val="0"/>
        <c:ser>
          <c:idx val="0"/>
          <c:order val="0"/>
          <c:spPr>
            <a:ln w="22225" cap="rnd">
              <a:solidFill>
                <a:schemeClr val="bg1">
                  <a:lumMod val="75000"/>
                </a:schemeClr>
              </a:solidFill>
              <a:round/>
            </a:ln>
            <a:effectLst/>
          </c:spPr>
          <c:marker>
            <c:symbol val="none"/>
          </c:marker>
          <c:cat>
            <c:strRef>
              <c:f>'Burn Pro Sen 1'!$B$134:$B$145</c:f>
              <c:strCache>
                <c:ptCount val="12"/>
                <c:pt idx="0">
                  <c:v>Profile 1</c:v>
                </c:pt>
                <c:pt idx="1">
                  <c:v>Profile 2A</c:v>
                </c:pt>
                <c:pt idx="2">
                  <c:v>Profile 2B</c:v>
                </c:pt>
                <c:pt idx="3">
                  <c:v>Profile 2C</c:v>
                </c:pt>
                <c:pt idx="4">
                  <c:v>Profile 3A</c:v>
                </c:pt>
                <c:pt idx="5">
                  <c:v>Profile 3B</c:v>
                </c:pt>
                <c:pt idx="6">
                  <c:v>Profile 3C</c:v>
                </c:pt>
                <c:pt idx="7">
                  <c:v>Profile 4A</c:v>
                </c:pt>
                <c:pt idx="8">
                  <c:v>Profile 4B</c:v>
                </c:pt>
                <c:pt idx="9">
                  <c:v>Profile 4C</c:v>
                </c:pt>
                <c:pt idx="10">
                  <c:v>Profile 4D</c:v>
                </c:pt>
                <c:pt idx="11">
                  <c:v>PNSO</c:v>
                </c:pt>
              </c:strCache>
            </c:strRef>
          </c:cat>
          <c:val>
            <c:numRef>
              <c:f>'Burn Pro Sen 1'!$D$134:$D$145</c:f>
              <c:numCache>
                <c:formatCode>_-[$€-2]\ * #,##0.00_-;\-[$€-2]\ * #,##0.00_-;_-[$€-2]\ * "-"??_-;_-@_-</c:formatCode>
                <c:ptCount val="12"/>
                <c:pt idx="0">
                  <c:v>101409.10714285714</c:v>
                </c:pt>
                <c:pt idx="1">
                  <c:v>89747.059821428571</c:v>
                </c:pt>
                <c:pt idx="2">
                  <c:v>86015.204678571419</c:v>
                </c:pt>
                <c:pt idx="3">
                  <c:v>78085.012499999997</c:v>
                </c:pt>
                <c:pt idx="4">
                  <c:v>82141.376785714296</c:v>
                </c:pt>
                <c:pt idx="5">
                  <c:v>75975.703071428579</c:v>
                </c:pt>
                <c:pt idx="6">
                  <c:v>62873.646428571432</c:v>
                </c:pt>
                <c:pt idx="7">
                  <c:v>61606.032589285714</c:v>
                </c:pt>
                <c:pt idx="8">
                  <c:v>61200.396160714285</c:v>
                </c:pt>
                <c:pt idx="9">
                  <c:v>58736.154857142858</c:v>
                </c:pt>
                <c:pt idx="10">
                  <c:v>50359.762607142853</c:v>
                </c:pt>
                <c:pt idx="11">
                  <c:v>50704.553571428572</c:v>
                </c:pt>
              </c:numCache>
            </c:numRef>
          </c:val>
          <c:smooth val="0"/>
          <c:extLst xmlns:c16r2="http://schemas.microsoft.com/office/drawing/2015/06/chart">
            <c:ext xmlns:c16="http://schemas.microsoft.com/office/drawing/2014/chart" uri="{C3380CC4-5D6E-409C-BE32-E72D297353CC}">
              <c16:uniqueId val="{00000000-2C62-4870-8F8C-EEA08402D1CC}"/>
            </c:ext>
          </c:extLst>
        </c:ser>
        <c:dLbls>
          <c:showLegendKey val="0"/>
          <c:showVal val="0"/>
          <c:showCatName val="0"/>
          <c:showSerName val="0"/>
          <c:showPercent val="0"/>
          <c:showBubbleSize val="0"/>
        </c:dLbls>
        <c:dropLines>
          <c:spPr>
            <a:ln w="9525">
              <a:solidFill>
                <a:schemeClr val="tx1">
                  <a:lumMod val="35000"/>
                  <a:lumOff val="65000"/>
                </a:schemeClr>
              </a:solidFill>
            </a:ln>
            <a:effectLst/>
          </c:spPr>
        </c:dropLines>
        <c:smooth val="0"/>
        <c:axId val="633474920"/>
        <c:axId val="633475312"/>
      </c:lineChart>
      <c:catAx>
        <c:axId val="633474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475312"/>
        <c:crosses val="autoZero"/>
        <c:auto val="1"/>
        <c:lblAlgn val="ctr"/>
        <c:lblOffset val="100"/>
        <c:noMultiLvlLbl val="0"/>
      </c:catAx>
      <c:valAx>
        <c:axId val="6334753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title>
          <c:tx>
            <c:rich>
              <a:bodyPr rot="-5400000" spcFirstLastPara="1" vertOverflow="ellipsis" vert="horz" wrap="square" anchor="ctr" anchorCtr="1"/>
              <a:lstStyle/>
              <a:p>
                <a:pPr>
                  <a:defRPr sz="800" b="0"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cost per annum</a:t>
                </a:r>
              </a:p>
            </c:rich>
          </c:tx>
          <c:overlay val="0"/>
          <c:spPr>
            <a:noFill/>
            <a:ln>
              <a:noFill/>
            </a:ln>
            <a:effectLst/>
          </c:spPr>
          <c:txPr>
            <a:bodyPr rot="-5400000" spcFirstLastPara="1" vertOverflow="ellipsis" vert="horz" wrap="square" anchor="ctr" anchorCtr="1"/>
            <a:lstStyle/>
            <a:p>
              <a:pPr>
                <a:defRPr sz="800" b="0"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2]\ * #,##0.00_-;\-[$€-2]\ * #,##0.00_-;_-[$€-2]\ * &quot;-&quot;??_-;_-@_-"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474920"/>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latin typeface="Arial" panose="020B0604020202020204" pitchFamily="34" charset="0"/>
                <a:cs typeface="Arial" panose="020B0604020202020204" pitchFamily="34" charset="0"/>
              </a:rPr>
              <a:t>Summary of Energy Costs by profile</a:t>
            </a:r>
          </a:p>
        </c:rich>
      </c:tx>
      <c:overlay val="0"/>
      <c:spPr>
        <a:noFill/>
        <a:ln>
          <a:noFill/>
        </a:ln>
        <a:effectLst/>
      </c:spPr>
      <c:txPr>
        <a:bodyPr rot="0" spcFirstLastPara="1" vertOverflow="ellipsis" vert="horz" wrap="square" anchor="ctr" anchorCtr="1"/>
        <a:lstStyle/>
        <a:p>
          <a:pPr>
            <a:defRPr sz="96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cked"/>
        <c:varyColors val="0"/>
        <c:ser>
          <c:idx val="0"/>
          <c:order val="0"/>
          <c:spPr>
            <a:ln w="22225" cap="rnd">
              <a:solidFill>
                <a:schemeClr val="bg1">
                  <a:lumMod val="75000"/>
                </a:schemeClr>
              </a:solidFill>
              <a:round/>
            </a:ln>
            <a:effectLst/>
          </c:spPr>
          <c:marker>
            <c:symbol val="none"/>
          </c:marker>
          <c:cat>
            <c:strRef>
              <c:f>'Burn Pro Sen 2'!$B$134:$B$145</c:f>
              <c:strCache>
                <c:ptCount val="12"/>
                <c:pt idx="0">
                  <c:v>Profile 1</c:v>
                </c:pt>
                <c:pt idx="1">
                  <c:v>Profile 2A</c:v>
                </c:pt>
                <c:pt idx="2">
                  <c:v>Profile 2B</c:v>
                </c:pt>
                <c:pt idx="3">
                  <c:v>Profile 2C</c:v>
                </c:pt>
                <c:pt idx="4">
                  <c:v>Profile 3A</c:v>
                </c:pt>
                <c:pt idx="5">
                  <c:v>Profile 3B</c:v>
                </c:pt>
                <c:pt idx="6">
                  <c:v>Profile 3C</c:v>
                </c:pt>
                <c:pt idx="7">
                  <c:v>Profile 4A</c:v>
                </c:pt>
                <c:pt idx="8">
                  <c:v>Profile 4B</c:v>
                </c:pt>
                <c:pt idx="9">
                  <c:v>Profile 4C</c:v>
                </c:pt>
                <c:pt idx="10">
                  <c:v>Profile 4D</c:v>
                </c:pt>
                <c:pt idx="11">
                  <c:v>PNSO</c:v>
                </c:pt>
              </c:strCache>
            </c:strRef>
          </c:cat>
          <c:val>
            <c:numRef>
              <c:f>'Burn Pro Sen 2'!$D$134:$D$145</c:f>
              <c:numCache>
                <c:formatCode>_-[$€-2]\ * #,##0.00_-;\-[$€-2]\ * #,##0.00_-;_-[$€-2]\ * "-"??_-;_-@_-</c:formatCode>
                <c:ptCount val="12"/>
                <c:pt idx="0">
                  <c:v>103789.63636363635</c:v>
                </c:pt>
                <c:pt idx="1">
                  <c:v>129634.64196428572</c:v>
                </c:pt>
                <c:pt idx="2">
                  <c:v>124244.18453571427</c:v>
                </c:pt>
                <c:pt idx="3">
                  <c:v>112789.46250000001</c:v>
                </c:pt>
                <c:pt idx="4">
                  <c:v>118648.65535714287</c:v>
                </c:pt>
                <c:pt idx="5">
                  <c:v>109742.68221428573</c:v>
                </c:pt>
                <c:pt idx="6">
                  <c:v>90817.489285714299</c:v>
                </c:pt>
                <c:pt idx="7">
                  <c:v>88986.491517857154</c:v>
                </c:pt>
                <c:pt idx="8">
                  <c:v>88400.572232142877</c:v>
                </c:pt>
                <c:pt idx="9">
                  <c:v>84841.112571428588</c:v>
                </c:pt>
                <c:pt idx="10">
                  <c:v>72741.879321428569</c:v>
                </c:pt>
                <c:pt idx="11">
                  <c:v>51894.818181818177</c:v>
                </c:pt>
              </c:numCache>
            </c:numRef>
          </c:val>
          <c:smooth val="0"/>
          <c:extLst xmlns:c16r2="http://schemas.microsoft.com/office/drawing/2015/06/chart">
            <c:ext xmlns:c16="http://schemas.microsoft.com/office/drawing/2014/chart" uri="{C3380CC4-5D6E-409C-BE32-E72D297353CC}">
              <c16:uniqueId val="{00000000-1FC3-4C7F-B061-7E4C55BF0E6E}"/>
            </c:ext>
          </c:extLst>
        </c:ser>
        <c:dLbls>
          <c:showLegendKey val="0"/>
          <c:showVal val="0"/>
          <c:showCatName val="0"/>
          <c:showSerName val="0"/>
          <c:showPercent val="0"/>
          <c:showBubbleSize val="0"/>
        </c:dLbls>
        <c:dropLines>
          <c:spPr>
            <a:ln w="9525">
              <a:solidFill>
                <a:schemeClr val="tx1">
                  <a:lumMod val="35000"/>
                  <a:lumOff val="65000"/>
                </a:schemeClr>
              </a:solidFill>
            </a:ln>
            <a:effectLst/>
          </c:spPr>
        </c:dropLines>
        <c:smooth val="0"/>
        <c:axId val="633476096"/>
        <c:axId val="633476488"/>
      </c:lineChart>
      <c:catAx>
        <c:axId val="633476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476488"/>
        <c:crosses val="autoZero"/>
        <c:auto val="1"/>
        <c:lblAlgn val="ctr"/>
        <c:lblOffset val="100"/>
        <c:noMultiLvlLbl val="0"/>
      </c:catAx>
      <c:valAx>
        <c:axId val="6334764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title>
          <c:tx>
            <c:rich>
              <a:bodyPr rot="-5400000" spcFirstLastPara="1" vertOverflow="ellipsis" vert="horz" wrap="square" anchor="ctr" anchorCtr="1"/>
              <a:lstStyle/>
              <a:p>
                <a:pPr>
                  <a:defRPr sz="800" b="0"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cost per annum</a:t>
                </a:r>
              </a:p>
            </c:rich>
          </c:tx>
          <c:overlay val="0"/>
          <c:spPr>
            <a:noFill/>
            <a:ln>
              <a:noFill/>
            </a:ln>
            <a:effectLst/>
          </c:spPr>
          <c:txPr>
            <a:bodyPr rot="-5400000" spcFirstLastPara="1" vertOverflow="ellipsis" vert="horz" wrap="square" anchor="ctr" anchorCtr="1"/>
            <a:lstStyle/>
            <a:p>
              <a:pPr>
                <a:defRPr sz="800" b="0"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2]\ * #,##0.00_-;\-[$€-2]\ * #,##0.00_-;_-[$€-2]\ * &quot;-&quot;??_-;_-@_-"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476096"/>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microsoft.com/office/2011/relationships/webextension" Target="../webextensions/webextension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168873</xdr:colOff>
      <xdr:row>5</xdr:row>
      <xdr:rowOff>107240</xdr:rowOff>
    </xdr:to>
    <xdr:pic>
      <xdr:nvPicPr>
        <xdr:cNvPr id="2" name="Picture 1">
          <a:extLst>
            <a:ext uri="{FF2B5EF4-FFF2-40B4-BE49-F238E27FC236}">
              <a16:creationId xmlns:a16="http://schemas.microsoft.com/office/drawing/2014/main" xmlns="" id="{00000000-0008-0000-1900-000002000000}"/>
            </a:ext>
          </a:extLst>
        </xdr:cNvPr>
        <xdr:cNvPicPr/>
      </xdr:nvPicPr>
      <xdr:blipFill>
        <a:blip xmlns:r="http://schemas.openxmlformats.org/officeDocument/2006/relationships" r:embed="rId1" cstate="print"/>
        <a:srcRect l="4035" t="19308" r="4323" b="17867"/>
        <a:stretch>
          <a:fillRect/>
        </a:stretch>
      </xdr:blipFill>
      <xdr:spPr bwMode="auto">
        <a:xfrm>
          <a:off x="0" y="0"/>
          <a:ext cx="1449033" cy="102164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322734</xdr:colOff>
      <xdr:row>19</xdr:row>
      <xdr:rowOff>403405</xdr:rowOff>
    </xdr:from>
    <xdr:to>
      <xdr:col>25</xdr:col>
      <xdr:colOff>532010</xdr:colOff>
      <xdr:row>31</xdr:row>
      <xdr:rowOff>111509</xdr:rowOff>
    </xdr:to>
    <xdr:pic>
      <xdr:nvPicPr>
        <xdr:cNvPr id="2" name="Picture 1">
          <a:extLst>
            <a:ext uri="{FF2B5EF4-FFF2-40B4-BE49-F238E27FC236}">
              <a16:creationId xmlns:lc="http://schemas.openxmlformats.org/drawingml/2006/lockedCanvas" xmlns:a16="http://schemas.microsoft.com/office/drawing/2014/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r="http://schemas.openxmlformats.org/officeDocument/2006/relationships" xmlns:o="urn:schemas-microsoft-com:office:office" xmlns:mc="http://schemas.openxmlformats.org/markup-compatibility/2006" xmlns:wpc="http://schemas.microsoft.com/office/word/2010/wordprocessingCanvas"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80852" y="6831099"/>
          <a:ext cx="4064099" cy="5257257"/>
        </a:xfrm>
        <a:prstGeom prst="rect">
          <a:avLst/>
        </a:prstGeom>
        <a:noFill/>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247651</xdr:colOff>
      <xdr:row>13</xdr:row>
      <xdr:rowOff>180975</xdr:rowOff>
    </xdr:from>
    <xdr:to>
      <xdr:col>15</xdr:col>
      <xdr:colOff>1019175</xdr:colOff>
      <xdr:row>30</xdr:row>
      <xdr:rowOff>180975</xdr:rowOff>
    </xdr:to>
    <mc:AlternateContent xmlns:mc="http://schemas.openxmlformats.org/markup-compatibility/2006">
      <mc:Choice xmlns:we="http://schemas.microsoft.com/office/webextensions/webextension/2010/11" Requires="we">
        <xdr:graphicFrame macro="">
          <xdr:nvGraphicFramePr>
            <xdr:cNvPr id="2" name="App 1">
              <a:extLst>
                <a:ext uri="{FF2B5EF4-FFF2-40B4-BE49-F238E27FC236}">
                  <a16:creationId xmlns:a16="http://schemas.microsoft.com/office/drawing/2014/main" xmlns="" id="{00000000-0008-0000-0000-000002000000}"/>
                </a:ext>
              </a:extLst>
            </xdr:cNvPr>
            <xdr:cNvGraphicFramePr>
              <a:graphicFrameLocks noGrp="1" noChangeAspect="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
            </a:graphicData>
          </a:graphic>
        </xdr:graphicFrame>
      </mc:Choice>
      <mc:Fallback>
        <xdr:pic>
          <xdr:nvPicPr>
            <xdr:cNvPr id="2" name="App 1">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2"/>
            <a:stretch>
              <a:fillRect/>
            </a:stretch>
          </xdr:blipFill>
          <xdr:spPr>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129</xdr:row>
      <xdr:rowOff>0</xdr:rowOff>
    </xdr:from>
    <xdr:to>
      <xdr:col>25</xdr:col>
      <xdr:colOff>0</xdr:colOff>
      <xdr:row>159</xdr:row>
      <xdr:rowOff>2930</xdr:rowOff>
    </xdr:to>
    <xdr:graphicFrame macro="">
      <xdr:nvGraphicFramePr>
        <xdr:cNvPr id="2" name="Chart 1">
          <a:extLst>
            <a:ext uri="{FF2B5EF4-FFF2-40B4-BE49-F238E27FC236}">
              <a16:creationId xmlns:a16="http://schemas.microsoft.com/office/drawing/2014/main" xmlns=""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129</xdr:row>
      <xdr:rowOff>0</xdr:rowOff>
    </xdr:from>
    <xdr:to>
      <xdr:col>24</xdr:col>
      <xdr:colOff>1057274</xdr:colOff>
      <xdr:row>159</xdr:row>
      <xdr:rowOff>0</xdr:rowOff>
    </xdr:to>
    <xdr:graphicFrame macro="">
      <xdr:nvGraphicFramePr>
        <xdr:cNvPr id="2" name="Chart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129</xdr:row>
      <xdr:rowOff>0</xdr:rowOff>
    </xdr:from>
    <xdr:to>
      <xdr:col>25</xdr:col>
      <xdr:colOff>0</xdr:colOff>
      <xdr:row>159</xdr:row>
      <xdr:rowOff>0</xdr:rowOff>
    </xdr:to>
    <xdr:graphicFrame macro="">
      <xdr:nvGraphicFramePr>
        <xdr:cNvPr id="2" name="Chart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DN-LHT-03038_-_Annex-B_-_Rev-0.9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ummary of Results"/>
      <sheetName val="Index"/>
      <sheetName val="General Notes"/>
      <sheetName val="Scheme Entry - Baseline"/>
      <sheetName val="Results"/>
      <sheetName val="Capital Expenditure"/>
      <sheetName val="Operational Expenditure"/>
      <sheetName val="Lighting Data"/>
      <sheetName val="Energy Calculations"/>
      <sheetName val="Burn Profiles"/>
      <sheetName val="NTpM Adjustment by Region"/>
      <sheetName val="NtpM Capitalisation"/>
      <sheetName val="Discount Factor"/>
      <sheetName val="Reference Tables"/>
      <sheetName val="National Accident Rate"/>
      <sheetName val="Average Accidents Costs"/>
      <sheetName val="Capitalisation Maintenance"/>
      <sheetName val="Geographical Regions"/>
      <sheetName val="Sensitivity 1"/>
      <sheetName val="Sensitivity 2"/>
      <sheetName val="PAG 6.11 Tables Extract"/>
      <sheetName val="Project Appraisal Report"/>
      <sheetName val="Accident Rates &amp; Reduction"/>
    </sheetNames>
    <sheetDataSet>
      <sheetData sheetId="0"/>
      <sheetData sheetId="1"/>
      <sheetData sheetId="2"/>
      <sheetData sheetId="3"/>
      <sheetData sheetId="4">
        <row r="4">
          <cell r="L4">
            <v>0.05</v>
          </cell>
          <cell r="O4">
            <v>2.4E-2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3.png"/></Relationships>
</file>

<file path=xl/webextensions/webextension1.xml><?xml version="1.0" encoding="utf-8"?>
<we:webextension xmlns:we="http://schemas.microsoft.com/office/webextensions/webextension/2010/11" id="{00000000-0008-0000-0000-000002000000}">
  <we:reference id="wa102957661" version="1.4.0.0" store="en-US" storeType="OMEX"/>
  <we:alternateReferences/>
  <we:properties>
    <we:property name="color" value="[&quot;#FF0000&quot;,&quot;#FF0000&quot;,&quot;#999900&quot;,&quot;#3366ff&quot;,&quot;#990055&quot;,&quot;#336633&quot;,&quot;#5500cc&quot;,&quot;#ff8c1a&quot;,&quot;#e60073&quot;,&quot;#666600&quot;,&quot;#0000ff&quot;,&quot;#996633&quot;,&quot;#00b386&quot;,&quot;#9900cc&quot;,&quot;#008000&quot;,&quot;#006699&quot;,&quot;#cc6600&quot;,&quot;#660080&quot;,&quot;#663300&quot;,&quot;#00a3a3&quot;,&quot;#990000&quot;,&quot;#FF0000&quot;,&quot;#FFA500&quot;,&quot;#FFFF00&quot;,&quot;#D4A017&quot;,&quot;#C0C0C0&quot;,&quot;#8C7853&quot;]"/>
    <we:property name="filters" value="[]"/>
    <we:property name="mapType" value="&quot;road&quot;"/>
    <we:property name="pointType" value="&quot;circles&quot;"/>
    <we:property name="showLegend" value="&quot;hide&quot;"/>
  </we:properties>
  <we:bindings>
    <we:binding id="Locations" type="matrix" appref="{2D058318-4A65-4027-A40E-3E8E1F773362}"/>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cso.ie/multiquicktables/quickTables.aspx?id=cpm02_cpa04_8"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gnss.osi.ie/new-converte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Layout" zoomScale="80" zoomScaleNormal="100" zoomScalePageLayoutView="80" workbookViewId="0">
      <selection activeCell="A7" sqref="A7"/>
    </sheetView>
  </sheetViews>
  <sheetFormatPr defaultRowHeight="14.4" x14ac:dyDescent="0.3"/>
  <sheetData>
    <row r="1" spans="1:14" x14ac:dyDescent="0.3">
      <c r="A1" s="19"/>
      <c r="B1" s="19"/>
      <c r="C1" s="19"/>
      <c r="D1" s="19"/>
      <c r="E1" s="19"/>
      <c r="F1" s="19"/>
      <c r="G1" s="19"/>
      <c r="H1" s="19"/>
      <c r="I1" s="19"/>
      <c r="J1" s="19"/>
      <c r="K1" s="19"/>
      <c r="L1" s="19"/>
      <c r="M1" s="19"/>
      <c r="N1" s="19"/>
    </row>
    <row r="2" spans="1:14" x14ac:dyDescent="0.3">
      <c r="A2" s="19"/>
      <c r="B2" s="19"/>
      <c r="C2" s="19"/>
      <c r="D2" s="19"/>
      <c r="E2" s="19"/>
      <c r="F2" s="19"/>
      <c r="G2" s="19"/>
      <c r="H2" s="19"/>
      <c r="I2" s="19"/>
      <c r="J2" s="19"/>
      <c r="K2" s="19"/>
      <c r="L2" s="19"/>
      <c r="M2" s="19"/>
      <c r="N2" s="19"/>
    </row>
    <row r="3" spans="1:14" x14ac:dyDescent="0.3">
      <c r="A3" s="19"/>
      <c r="B3" s="19"/>
      <c r="C3" s="19"/>
      <c r="D3" s="19"/>
      <c r="E3" s="19"/>
      <c r="F3" s="19"/>
      <c r="G3" s="19"/>
      <c r="H3" s="19"/>
      <c r="I3" s="19"/>
      <c r="J3" s="19"/>
      <c r="K3" s="19"/>
      <c r="L3" s="19"/>
      <c r="M3" s="19"/>
      <c r="N3" s="19"/>
    </row>
    <row r="4" spans="1:14" x14ac:dyDescent="0.3">
      <c r="A4" s="19"/>
      <c r="B4" s="19"/>
      <c r="C4" s="19"/>
      <c r="D4" s="19"/>
      <c r="E4" s="19"/>
      <c r="F4" s="19"/>
      <c r="G4" s="19"/>
      <c r="H4" s="19"/>
      <c r="I4" s="19"/>
      <c r="J4" s="19"/>
      <c r="K4" s="19"/>
      <c r="L4" s="19"/>
      <c r="M4" s="19"/>
      <c r="N4" s="19"/>
    </row>
    <row r="5" spans="1:14" x14ac:dyDescent="0.3">
      <c r="A5" s="19"/>
      <c r="B5" s="19"/>
      <c r="C5" s="19"/>
      <c r="D5" s="19"/>
      <c r="E5" s="19"/>
      <c r="F5" s="19"/>
      <c r="G5" s="19"/>
      <c r="H5" s="19"/>
      <c r="I5" s="19"/>
      <c r="J5" s="19"/>
      <c r="K5" s="19"/>
      <c r="L5" s="19"/>
      <c r="M5" s="19"/>
      <c r="N5" s="19"/>
    </row>
    <row r="6" spans="1:14" x14ac:dyDescent="0.3">
      <c r="A6" s="19"/>
      <c r="B6" s="19"/>
      <c r="C6" s="19"/>
      <c r="D6" s="19"/>
      <c r="E6" s="19"/>
      <c r="F6" s="19"/>
      <c r="G6" s="19"/>
      <c r="H6" s="19"/>
      <c r="I6" s="19"/>
      <c r="J6" s="19"/>
      <c r="K6" s="19"/>
      <c r="L6" s="19"/>
      <c r="M6" s="19"/>
      <c r="N6" s="19"/>
    </row>
    <row r="7" spans="1:14" x14ac:dyDescent="0.3">
      <c r="A7" s="584"/>
      <c r="B7" s="19"/>
      <c r="C7" s="19"/>
      <c r="D7" s="19"/>
      <c r="E7" s="19"/>
      <c r="F7" s="19"/>
      <c r="G7" s="19"/>
      <c r="H7" s="19"/>
      <c r="I7" s="19"/>
      <c r="J7" s="19"/>
      <c r="K7" s="19"/>
      <c r="L7" s="19"/>
      <c r="M7" s="19"/>
      <c r="N7" s="19"/>
    </row>
    <row r="8" spans="1:14" ht="8.4" customHeight="1" x14ac:dyDescent="0.3">
      <c r="A8" s="584"/>
      <c r="B8" s="19"/>
      <c r="C8" s="19"/>
      <c r="D8" s="19"/>
      <c r="E8" s="19"/>
      <c r="F8" s="19"/>
      <c r="G8" s="19"/>
      <c r="H8" s="19"/>
      <c r="I8" s="19"/>
      <c r="J8" s="19"/>
      <c r="K8" s="19"/>
      <c r="L8" s="19"/>
      <c r="M8" s="19"/>
      <c r="N8" s="19"/>
    </row>
    <row r="9" spans="1:14" ht="22.8" x14ac:dyDescent="0.4">
      <c r="A9" s="585" t="s">
        <v>378</v>
      </c>
      <c r="B9" s="19"/>
      <c r="C9" s="19"/>
      <c r="D9" s="19"/>
      <c r="E9" s="19"/>
      <c r="F9" s="19"/>
      <c r="G9" s="19"/>
      <c r="H9" s="19"/>
      <c r="I9" s="19"/>
      <c r="J9" s="19"/>
      <c r="K9" s="19"/>
      <c r="L9" s="19"/>
      <c r="M9" s="19"/>
      <c r="N9" s="19"/>
    </row>
    <row r="10" spans="1:14" x14ac:dyDescent="0.3">
      <c r="A10" s="584"/>
      <c r="B10" s="19"/>
      <c r="C10" s="19"/>
      <c r="D10" s="19"/>
      <c r="E10" s="19"/>
      <c r="F10" s="19"/>
      <c r="G10" s="19"/>
      <c r="H10" s="19"/>
      <c r="I10" s="19"/>
      <c r="J10" s="19"/>
      <c r="K10" s="19"/>
      <c r="L10" s="19"/>
      <c r="M10" s="19"/>
      <c r="N10" s="19"/>
    </row>
    <row r="11" spans="1:14" x14ac:dyDescent="0.3">
      <c r="A11" s="584"/>
      <c r="B11" s="19"/>
      <c r="C11" s="19"/>
      <c r="D11" s="19"/>
      <c r="E11" s="19"/>
      <c r="F11" s="19"/>
      <c r="G11" s="19"/>
      <c r="H11" s="19"/>
      <c r="I11" s="19"/>
      <c r="J11" s="19"/>
      <c r="K11" s="19"/>
      <c r="L11" s="19"/>
      <c r="M11" s="19"/>
      <c r="N11" s="19"/>
    </row>
    <row r="12" spans="1:14" x14ac:dyDescent="0.3">
      <c r="A12" s="584"/>
      <c r="B12" s="19"/>
      <c r="C12" s="19"/>
      <c r="D12" s="19"/>
      <c r="E12" s="19"/>
      <c r="F12" s="19"/>
      <c r="G12" s="19"/>
      <c r="H12" s="19"/>
      <c r="I12" s="19"/>
      <c r="J12" s="19"/>
      <c r="K12" s="19"/>
      <c r="L12" s="19"/>
      <c r="M12" s="19"/>
      <c r="N12" s="19"/>
    </row>
    <row r="13" spans="1:14" x14ac:dyDescent="0.3">
      <c r="A13" s="584"/>
      <c r="B13" s="19"/>
      <c r="C13" s="19"/>
      <c r="D13" s="19"/>
      <c r="E13" s="19"/>
      <c r="F13" s="19"/>
      <c r="G13" s="19"/>
      <c r="H13" s="19"/>
      <c r="I13" s="19"/>
      <c r="J13" s="19"/>
      <c r="K13" s="19"/>
      <c r="L13" s="19"/>
      <c r="M13" s="19"/>
      <c r="N13" s="19"/>
    </row>
    <row r="14" spans="1:14" ht="15.6" x14ac:dyDescent="0.3">
      <c r="A14" s="586" t="s">
        <v>376</v>
      </c>
      <c r="B14" s="19"/>
      <c r="C14" s="19"/>
      <c r="D14" s="19"/>
      <c r="E14" s="19"/>
      <c r="F14" s="19"/>
      <c r="G14" s="19"/>
      <c r="H14" s="19"/>
      <c r="I14" s="19"/>
      <c r="J14" s="19"/>
      <c r="K14" s="19"/>
      <c r="L14" s="19"/>
      <c r="M14" s="19"/>
      <c r="N14" s="19"/>
    </row>
    <row r="15" spans="1:14" ht="15.6" x14ac:dyDescent="0.3">
      <c r="A15" s="587" t="s">
        <v>379</v>
      </c>
      <c r="B15" s="19"/>
      <c r="C15" s="19"/>
      <c r="D15" s="19"/>
      <c r="E15" s="19"/>
      <c r="F15" s="19"/>
      <c r="G15" s="19"/>
      <c r="H15" s="19"/>
      <c r="I15" s="19"/>
      <c r="J15" s="19"/>
      <c r="K15" s="19"/>
      <c r="L15" s="19"/>
      <c r="M15" s="19"/>
      <c r="N15" s="19"/>
    </row>
    <row r="16" spans="1:14" ht="15.6" x14ac:dyDescent="0.3">
      <c r="A16" s="588" t="s">
        <v>377</v>
      </c>
      <c r="B16" s="19"/>
      <c r="C16" s="19"/>
      <c r="D16" s="19"/>
      <c r="E16" s="19"/>
      <c r="F16" s="19"/>
      <c r="G16" s="19"/>
      <c r="H16" s="19"/>
      <c r="I16" s="19"/>
      <c r="J16" s="19"/>
      <c r="K16" s="19"/>
      <c r="L16" s="19"/>
      <c r="M16" s="19"/>
      <c r="N16" s="19"/>
    </row>
    <row r="17" spans="1:14" x14ac:dyDescent="0.3">
      <c r="A17" s="584"/>
      <c r="B17" s="19"/>
      <c r="C17" s="19"/>
      <c r="D17" s="19"/>
      <c r="E17" s="19"/>
      <c r="F17" s="19"/>
      <c r="G17" s="19"/>
      <c r="H17" s="19"/>
      <c r="I17" s="19"/>
      <c r="J17" s="19"/>
      <c r="K17" s="19"/>
      <c r="L17" s="19"/>
      <c r="M17" s="19"/>
      <c r="N17" s="19"/>
    </row>
    <row r="18" spans="1:14" x14ac:dyDescent="0.3">
      <c r="A18" s="19"/>
      <c r="B18" s="19"/>
      <c r="C18" s="19"/>
      <c r="D18" s="19"/>
      <c r="E18" s="19"/>
      <c r="F18" s="19"/>
      <c r="G18" s="19"/>
      <c r="H18" s="19"/>
      <c r="I18" s="19"/>
      <c r="J18" s="19"/>
      <c r="K18" s="19"/>
      <c r="L18" s="19"/>
      <c r="M18" s="19"/>
      <c r="N18" s="19"/>
    </row>
    <row r="19" spans="1:14" x14ac:dyDescent="0.3">
      <c r="A19" s="19"/>
      <c r="B19" s="19"/>
      <c r="C19" s="19"/>
      <c r="D19" s="19"/>
      <c r="E19" s="19"/>
      <c r="F19" s="19"/>
      <c r="G19" s="19"/>
      <c r="H19" s="19"/>
      <c r="I19" s="19"/>
      <c r="J19" s="19"/>
      <c r="K19" s="19"/>
      <c r="L19" s="19"/>
      <c r="M19" s="19"/>
      <c r="N19" s="19"/>
    </row>
    <row r="20" spans="1:14" x14ac:dyDescent="0.3">
      <c r="A20" s="19"/>
      <c r="B20" s="19"/>
      <c r="C20" s="19"/>
      <c r="D20" s="19"/>
      <c r="E20" s="19"/>
      <c r="F20" s="19"/>
      <c r="G20" s="19"/>
      <c r="H20" s="19"/>
      <c r="I20" s="19"/>
      <c r="J20" s="19"/>
      <c r="K20" s="19"/>
      <c r="L20" s="19"/>
      <c r="M20" s="19"/>
      <c r="N20" s="19"/>
    </row>
    <row r="21" spans="1:14" x14ac:dyDescent="0.3">
      <c r="A21" s="19"/>
      <c r="B21" s="19"/>
      <c r="C21" s="19"/>
      <c r="D21" s="19"/>
      <c r="E21" s="19"/>
      <c r="F21" s="19"/>
      <c r="G21" s="19"/>
      <c r="H21" s="19"/>
      <c r="I21" s="19"/>
      <c r="J21" s="19"/>
      <c r="K21" s="19"/>
      <c r="L21" s="19"/>
      <c r="M21" s="19"/>
      <c r="N21" s="19"/>
    </row>
    <row r="22" spans="1:14" x14ac:dyDescent="0.3">
      <c r="A22" s="19"/>
      <c r="B22" s="19"/>
      <c r="C22" s="19"/>
      <c r="D22" s="19"/>
      <c r="E22" s="19"/>
      <c r="F22" s="19"/>
      <c r="G22" s="19"/>
      <c r="H22" s="19"/>
      <c r="I22" s="19"/>
      <c r="J22" s="19"/>
      <c r="K22" s="19"/>
      <c r="L22" s="19"/>
      <c r="M22" s="19"/>
      <c r="N22" s="19"/>
    </row>
    <row r="23" spans="1:14" x14ac:dyDescent="0.3">
      <c r="A23" s="19"/>
      <c r="B23" s="19"/>
      <c r="C23" s="19"/>
      <c r="D23" s="19"/>
      <c r="E23" s="19"/>
      <c r="F23" s="19"/>
      <c r="G23" s="19"/>
      <c r="H23" s="19"/>
      <c r="I23" s="19"/>
      <c r="J23" s="19"/>
      <c r="K23" s="19"/>
      <c r="L23" s="19"/>
      <c r="M23" s="19"/>
      <c r="N23" s="19"/>
    </row>
    <row r="24" spans="1:14" x14ac:dyDescent="0.3">
      <c r="A24" s="19"/>
      <c r="B24" s="19"/>
      <c r="C24" s="19"/>
      <c r="D24" s="19"/>
      <c r="E24" s="19"/>
      <c r="F24" s="19"/>
      <c r="G24" s="19"/>
      <c r="H24" s="19"/>
      <c r="I24" s="19"/>
      <c r="J24" s="19"/>
      <c r="K24" s="19"/>
      <c r="L24" s="19"/>
      <c r="M24" s="19"/>
      <c r="N24" s="19"/>
    </row>
    <row r="25" spans="1:14" x14ac:dyDescent="0.3">
      <c r="A25" s="19"/>
      <c r="B25" s="19"/>
      <c r="C25" s="19"/>
      <c r="D25" s="19"/>
      <c r="E25" s="19"/>
      <c r="F25" s="19"/>
      <c r="G25" s="19"/>
      <c r="H25" s="19"/>
      <c r="I25" s="19"/>
      <c r="J25" s="19"/>
      <c r="K25" s="19"/>
      <c r="L25" s="19"/>
      <c r="M25" s="19"/>
      <c r="N25" s="19"/>
    </row>
    <row r="26" spans="1:14" x14ac:dyDescent="0.3">
      <c r="A26" s="19"/>
      <c r="B26" s="19"/>
      <c r="C26" s="19"/>
      <c r="D26" s="19"/>
      <c r="E26" s="19"/>
      <c r="F26" s="19"/>
      <c r="G26" s="19"/>
      <c r="H26" s="19"/>
      <c r="I26" s="19"/>
      <c r="J26" s="19"/>
      <c r="K26" s="19"/>
      <c r="L26" s="19"/>
      <c r="M26" s="19"/>
      <c r="N26" s="19"/>
    </row>
    <row r="27" spans="1:14" x14ac:dyDescent="0.3">
      <c r="A27" s="19"/>
      <c r="B27" s="19"/>
      <c r="C27" s="19"/>
      <c r="D27" s="19"/>
      <c r="E27" s="19"/>
      <c r="F27" s="19"/>
      <c r="G27" s="19"/>
      <c r="H27" s="19"/>
      <c r="I27" s="19"/>
      <c r="J27" s="19"/>
      <c r="K27" s="19"/>
      <c r="L27" s="19"/>
      <c r="M27" s="19"/>
      <c r="N27" s="19"/>
    </row>
    <row r="28" spans="1:14" x14ac:dyDescent="0.3">
      <c r="A28" s="19"/>
      <c r="B28" s="19"/>
      <c r="C28" s="19"/>
      <c r="D28" s="19"/>
      <c r="E28" s="19"/>
      <c r="F28" s="19"/>
      <c r="G28" s="19"/>
      <c r="H28" s="19"/>
      <c r="I28" s="19"/>
      <c r="J28" s="19"/>
      <c r="K28" s="19"/>
      <c r="L28" s="19"/>
      <c r="M28" s="19"/>
      <c r="N28" s="19"/>
    </row>
    <row r="29" spans="1:14" x14ac:dyDescent="0.3">
      <c r="A29" s="591"/>
      <c r="B29" s="591"/>
      <c r="C29" s="591"/>
      <c r="D29" s="591"/>
      <c r="E29" s="591"/>
      <c r="F29" s="591"/>
      <c r="G29" s="591"/>
      <c r="H29" s="591"/>
      <c r="I29" s="591"/>
      <c r="J29" s="591"/>
      <c r="K29" s="591"/>
      <c r="L29" s="591"/>
      <c r="M29" s="591"/>
      <c r="N29" s="591"/>
    </row>
    <row r="30" spans="1:14" x14ac:dyDescent="0.3">
      <c r="A30" s="592" t="s">
        <v>380</v>
      </c>
      <c r="B30" s="899" t="str">
        <f>Overview!B7</f>
        <v>Grove Park Drive</v>
      </c>
      <c r="C30" s="899"/>
      <c r="D30" s="899"/>
      <c r="E30" s="899"/>
      <c r="F30" s="899"/>
      <c r="G30" s="899"/>
      <c r="H30" s="899"/>
      <c r="I30" s="899"/>
      <c r="J30" s="899"/>
      <c r="K30" s="899"/>
      <c r="L30" s="899"/>
      <c r="M30" s="899"/>
      <c r="N30" s="899"/>
    </row>
    <row r="31" spans="1:14" x14ac:dyDescent="0.3">
      <c r="A31" s="592" t="s">
        <v>381</v>
      </c>
      <c r="B31" s="899" t="str">
        <f>Overview!J7</f>
        <v>1234/AB</v>
      </c>
      <c r="C31" s="899"/>
      <c r="D31" s="899"/>
      <c r="E31" s="899"/>
      <c r="F31" s="899"/>
      <c r="G31" s="899"/>
      <c r="H31" s="899"/>
      <c r="I31" s="899"/>
      <c r="J31" s="899"/>
      <c r="K31" s="899"/>
      <c r="L31" s="899"/>
      <c r="M31" s="899"/>
      <c r="N31" s="899"/>
    </row>
    <row r="32" spans="1:14" x14ac:dyDescent="0.3">
      <c r="A32" s="592" t="s">
        <v>382</v>
      </c>
      <c r="B32" s="900">
        <f>Overview!P2</f>
        <v>43101</v>
      </c>
      <c r="C32" s="899"/>
      <c r="D32" s="899"/>
      <c r="E32" s="899"/>
      <c r="F32" s="899"/>
      <c r="G32" s="899"/>
      <c r="H32" s="899"/>
      <c r="I32" s="899"/>
      <c r="J32" s="899"/>
      <c r="K32" s="899"/>
      <c r="L32" s="899"/>
      <c r="M32" s="899"/>
      <c r="N32" s="899"/>
    </row>
    <row r="33" spans="1:14" x14ac:dyDescent="0.3">
      <c r="A33" s="593" t="s">
        <v>383</v>
      </c>
      <c r="B33" s="901">
        <f>Overview!P4</f>
        <v>0</v>
      </c>
      <c r="C33" s="901"/>
      <c r="D33" s="901"/>
      <c r="E33" s="901"/>
      <c r="F33" s="901"/>
      <c r="G33" s="901"/>
      <c r="H33" s="901"/>
      <c r="I33" s="901"/>
      <c r="J33" s="901"/>
      <c r="K33" s="901"/>
      <c r="L33" s="901"/>
      <c r="M33" s="901"/>
      <c r="N33" s="901"/>
    </row>
  </sheetData>
  <mergeCells count="4">
    <mergeCell ref="B30:N30"/>
    <mergeCell ref="B31:N31"/>
    <mergeCell ref="B32:N32"/>
    <mergeCell ref="B33:N33"/>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view="pageLayout" zoomScale="80" zoomScaleNormal="100" zoomScalePageLayoutView="80" workbookViewId="0">
      <selection activeCell="K3" sqref="K3:X4"/>
    </sheetView>
  </sheetViews>
  <sheetFormatPr defaultRowHeight="15" customHeight="1" x14ac:dyDescent="0.3"/>
  <cols>
    <col min="1" max="1" width="2.6640625" style="2" customWidth="1"/>
    <col min="2" max="15" width="5.33203125" style="2" customWidth="1"/>
    <col min="16" max="16" width="12.33203125" style="2" customWidth="1"/>
    <col min="17" max="17" width="5.33203125" style="2" customWidth="1"/>
    <col min="18" max="18" width="8" style="2" customWidth="1"/>
    <col min="19" max="24" width="5.33203125" style="2" customWidth="1"/>
    <col min="25" max="25" width="6.33203125" style="2" customWidth="1"/>
    <col min="26" max="265" width="7.6640625" style="2" customWidth="1"/>
    <col min="266" max="266" width="14.33203125" style="2" customWidth="1"/>
    <col min="267" max="267" width="4" style="2" customWidth="1"/>
    <col min="268" max="268" width="14.33203125" style="2" customWidth="1"/>
    <col min="269" max="269" width="4" style="2" customWidth="1"/>
    <col min="270" max="521" width="7.6640625" style="2" customWidth="1"/>
    <col min="522" max="522" width="14.33203125" style="2" customWidth="1"/>
    <col min="523" max="523" width="4" style="2" customWidth="1"/>
    <col min="524" max="524" width="14.33203125" style="2" customWidth="1"/>
    <col min="525" max="525" width="4" style="2" customWidth="1"/>
    <col min="526" max="777" width="7.6640625" style="2" customWidth="1"/>
    <col min="778" max="778" width="14.33203125" style="2" customWidth="1"/>
    <col min="779" max="779" width="4" style="2" customWidth="1"/>
    <col min="780" max="780" width="14.33203125" style="2" customWidth="1"/>
    <col min="781" max="781" width="4" style="2" customWidth="1"/>
    <col min="782" max="1033" width="7.6640625" style="2" customWidth="1"/>
    <col min="1034" max="1034" width="14.33203125" style="2" customWidth="1"/>
    <col min="1035" max="1035" width="4" style="2" customWidth="1"/>
    <col min="1036" max="1036" width="14.33203125" style="2" customWidth="1"/>
    <col min="1037" max="1037" width="4" style="2" customWidth="1"/>
    <col min="1038" max="1289" width="7.6640625" style="2" customWidth="1"/>
    <col min="1290" max="1290" width="14.33203125" style="2" customWidth="1"/>
    <col min="1291" max="1291" width="4" style="2" customWidth="1"/>
    <col min="1292" max="1292" width="14.33203125" style="2" customWidth="1"/>
    <col min="1293" max="1293" width="4" style="2" customWidth="1"/>
    <col min="1294" max="1545" width="7.6640625" style="2" customWidth="1"/>
    <col min="1546" max="1546" width="14.33203125" style="2" customWidth="1"/>
    <col min="1547" max="1547" width="4" style="2" customWidth="1"/>
    <col min="1548" max="1548" width="14.33203125" style="2" customWidth="1"/>
    <col min="1549" max="1549" width="4" style="2" customWidth="1"/>
    <col min="1550" max="1801" width="7.6640625" style="2" customWidth="1"/>
    <col min="1802" max="1802" width="14.33203125" style="2" customWidth="1"/>
    <col min="1803" max="1803" width="4" style="2" customWidth="1"/>
    <col min="1804" max="1804" width="14.33203125" style="2" customWidth="1"/>
    <col min="1805" max="1805" width="4" style="2" customWidth="1"/>
    <col min="1806" max="2057" width="7.6640625" style="2" customWidth="1"/>
    <col min="2058" max="2058" width="14.33203125" style="2" customWidth="1"/>
    <col min="2059" max="2059" width="4" style="2" customWidth="1"/>
    <col min="2060" max="2060" width="14.33203125" style="2" customWidth="1"/>
    <col min="2061" max="2061" width="4" style="2" customWidth="1"/>
    <col min="2062" max="2313" width="7.6640625" style="2" customWidth="1"/>
    <col min="2314" max="2314" width="14.33203125" style="2" customWidth="1"/>
    <col min="2315" max="2315" width="4" style="2" customWidth="1"/>
    <col min="2316" max="2316" width="14.33203125" style="2" customWidth="1"/>
    <col min="2317" max="2317" width="4" style="2" customWidth="1"/>
    <col min="2318" max="2569" width="7.6640625" style="2" customWidth="1"/>
    <col min="2570" max="2570" width="14.33203125" style="2" customWidth="1"/>
    <col min="2571" max="2571" width="4" style="2" customWidth="1"/>
    <col min="2572" max="2572" width="14.33203125" style="2" customWidth="1"/>
    <col min="2573" max="2573" width="4" style="2" customWidth="1"/>
    <col min="2574" max="2825" width="7.6640625" style="2" customWidth="1"/>
    <col min="2826" max="2826" width="14.33203125" style="2" customWidth="1"/>
    <col min="2827" max="2827" width="4" style="2" customWidth="1"/>
    <col min="2828" max="2828" width="14.33203125" style="2" customWidth="1"/>
    <col min="2829" max="2829" width="4" style="2" customWidth="1"/>
    <col min="2830" max="3081" width="7.6640625" style="2" customWidth="1"/>
    <col min="3082" max="3082" width="14.33203125" style="2" customWidth="1"/>
    <col min="3083" max="3083" width="4" style="2" customWidth="1"/>
    <col min="3084" max="3084" width="14.33203125" style="2" customWidth="1"/>
    <col min="3085" max="3085" width="4" style="2" customWidth="1"/>
    <col min="3086" max="3337" width="7.6640625" style="2" customWidth="1"/>
    <col min="3338" max="3338" width="14.33203125" style="2" customWidth="1"/>
    <col min="3339" max="3339" width="4" style="2" customWidth="1"/>
    <col min="3340" max="3340" width="14.33203125" style="2" customWidth="1"/>
    <col min="3341" max="3341" width="4" style="2" customWidth="1"/>
    <col min="3342" max="3593" width="7.6640625" style="2" customWidth="1"/>
    <col min="3594" max="3594" width="14.33203125" style="2" customWidth="1"/>
    <col min="3595" max="3595" width="4" style="2" customWidth="1"/>
    <col min="3596" max="3596" width="14.33203125" style="2" customWidth="1"/>
    <col min="3597" max="3597" width="4" style="2" customWidth="1"/>
    <col min="3598" max="3849" width="7.6640625" style="2" customWidth="1"/>
    <col min="3850" max="3850" width="14.33203125" style="2" customWidth="1"/>
    <col min="3851" max="3851" width="4" style="2" customWidth="1"/>
    <col min="3852" max="3852" width="14.33203125" style="2" customWidth="1"/>
    <col min="3853" max="3853" width="4" style="2" customWidth="1"/>
    <col min="3854" max="4105" width="7.6640625" style="2" customWidth="1"/>
    <col min="4106" max="4106" width="14.33203125" style="2" customWidth="1"/>
    <col min="4107" max="4107" width="4" style="2" customWidth="1"/>
    <col min="4108" max="4108" width="14.33203125" style="2" customWidth="1"/>
    <col min="4109" max="4109" width="4" style="2" customWidth="1"/>
    <col min="4110" max="4361" width="7.6640625" style="2" customWidth="1"/>
    <col min="4362" max="4362" width="14.33203125" style="2" customWidth="1"/>
    <col min="4363" max="4363" width="4" style="2" customWidth="1"/>
    <col min="4364" max="4364" width="14.33203125" style="2" customWidth="1"/>
    <col min="4365" max="4365" width="4" style="2" customWidth="1"/>
    <col min="4366" max="4617" width="7.6640625" style="2" customWidth="1"/>
    <col min="4618" max="4618" width="14.33203125" style="2" customWidth="1"/>
    <col min="4619" max="4619" width="4" style="2" customWidth="1"/>
    <col min="4620" max="4620" width="14.33203125" style="2" customWidth="1"/>
    <col min="4621" max="4621" width="4" style="2" customWidth="1"/>
    <col min="4622" max="4873" width="7.6640625" style="2" customWidth="1"/>
    <col min="4874" max="4874" width="14.33203125" style="2" customWidth="1"/>
    <col min="4875" max="4875" width="4" style="2" customWidth="1"/>
    <col min="4876" max="4876" width="14.33203125" style="2" customWidth="1"/>
    <col min="4877" max="4877" width="4" style="2" customWidth="1"/>
    <col min="4878" max="5129" width="7.6640625" style="2" customWidth="1"/>
    <col min="5130" max="5130" width="14.33203125" style="2" customWidth="1"/>
    <col min="5131" max="5131" width="4" style="2" customWidth="1"/>
    <col min="5132" max="5132" width="14.33203125" style="2" customWidth="1"/>
    <col min="5133" max="5133" width="4" style="2" customWidth="1"/>
    <col min="5134" max="5385" width="7.6640625" style="2" customWidth="1"/>
    <col min="5386" max="5386" width="14.33203125" style="2" customWidth="1"/>
    <col min="5387" max="5387" width="4" style="2" customWidth="1"/>
    <col min="5388" max="5388" width="14.33203125" style="2" customWidth="1"/>
    <col min="5389" max="5389" width="4" style="2" customWidth="1"/>
    <col min="5390" max="5641" width="7.6640625" style="2" customWidth="1"/>
    <col min="5642" max="5642" width="14.33203125" style="2" customWidth="1"/>
    <col min="5643" max="5643" width="4" style="2" customWidth="1"/>
    <col min="5644" max="5644" width="14.33203125" style="2" customWidth="1"/>
    <col min="5645" max="5645" width="4" style="2" customWidth="1"/>
    <col min="5646" max="5897" width="7.6640625" style="2" customWidth="1"/>
    <col min="5898" max="5898" width="14.33203125" style="2" customWidth="1"/>
    <col min="5899" max="5899" width="4" style="2" customWidth="1"/>
    <col min="5900" max="5900" width="14.33203125" style="2" customWidth="1"/>
    <col min="5901" max="5901" width="4" style="2" customWidth="1"/>
    <col min="5902" max="6153" width="7.6640625" style="2" customWidth="1"/>
    <col min="6154" max="6154" width="14.33203125" style="2" customWidth="1"/>
    <col min="6155" max="6155" width="4" style="2" customWidth="1"/>
    <col min="6156" max="6156" width="14.33203125" style="2" customWidth="1"/>
    <col min="6157" max="6157" width="4" style="2" customWidth="1"/>
    <col min="6158" max="6409" width="7.6640625" style="2" customWidth="1"/>
    <col min="6410" max="6410" width="14.33203125" style="2" customWidth="1"/>
    <col min="6411" max="6411" width="4" style="2" customWidth="1"/>
    <col min="6412" max="6412" width="14.33203125" style="2" customWidth="1"/>
    <col min="6413" max="6413" width="4" style="2" customWidth="1"/>
    <col min="6414" max="6665" width="7.6640625" style="2" customWidth="1"/>
    <col min="6666" max="6666" width="14.33203125" style="2" customWidth="1"/>
    <col min="6667" max="6667" width="4" style="2" customWidth="1"/>
    <col min="6668" max="6668" width="14.33203125" style="2" customWidth="1"/>
    <col min="6669" max="6669" width="4" style="2" customWidth="1"/>
    <col min="6670" max="6921" width="7.6640625" style="2" customWidth="1"/>
    <col min="6922" max="6922" width="14.33203125" style="2" customWidth="1"/>
    <col min="6923" max="6923" width="4" style="2" customWidth="1"/>
    <col min="6924" max="6924" width="14.33203125" style="2" customWidth="1"/>
    <col min="6925" max="6925" width="4" style="2" customWidth="1"/>
    <col min="6926" max="7177" width="7.6640625" style="2" customWidth="1"/>
    <col min="7178" max="7178" width="14.33203125" style="2" customWidth="1"/>
    <col min="7179" max="7179" width="4" style="2" customWidth="1"/>
    <col min="7180" max="7180" width="14.33203125" style="2" customWidth="1"/>
    <col min="7181" max="7181" width="4" style="2" customWidth="1"/>
    <col min="7182" max="7433" width="7.6640625" style="2" customWidth="1"/>
    <col min="7434" max="7434" width="14.33203125" style="2" customWidth="1"/>
    <col min="7435" max="7435" width="4" style="2" customWidth="1"/>
    <col min="7436" max="7436" width="14.33203125" style="2" customWidth="1"/>
    <col min="7437" max="7437" width="4" style="2" customWidth="1"/>
    <col min="7438" max="7689" width="7.6640625" style="2" customWidth="1"/>
    <col min="7690" max="7690" width="14.33203125" style="2" customWidth="1"/>
    <col min="7691" max="7691" width="4" style="2" customWidth="1"/>
    <col min="7692" max="7692" width="14.33203125" style="2" customWidth="1"/>
    <col min="7693" max="7693" width="4" style="2" customWidth="1"/>
    <col min="7694" max="7945" width="7.6640625" style="2" customWidth="1"/>
    <col min="7946" max="7946" width="14.33203125" style="2" customWidth="1"/>
    <col min="7947" max="7947" width="4" style="2" customWidth="1"/>
    <col min="7948" max="7948" width="14.33203125" style="2" customWidth="1"/>
    <col min="7949" max="7949" width="4" style="2" customWidth="1"/>
    <col min="7950" max="8201" width="7.6640625" style="2" customWidth="1"/>
    <col min="8202" max="8202" width="14.33203125" style="2" customWidth="1"/>
    <col min="8203" max="8203" width="4" style="2" customWidth="1"/>
    <col min="8204" max="8204" width="14.33203125" style="2" customWidth="1"/>
    <col min="8205" max="8205" width="4" style="2" customWidth="1"/>
    <col min="8206" max="8457" width="7.6640625" style="2" customWidth="1"/>
    <col min="8458" max="8458" width="14.33203125" style="2" customWidth="1"/>
    <col min="8459" max="8459" width="4" style="2" customWidth="1"/>
    <col min="8460" max="8460" width="14.33203125" style="2" customWidth="1"/>
    <col min="8461" max="8461" width="4" style="2" customWidth="1"/>
    <col min="8462" max="8713" width="7.6640625" style="2" customWidth="1"/>
    <col min="8714" max="8714" width="14.33203125" style="2" customWidth="1"/>
    <col min="8715" max="8715" width="4" style="2" customWidth="1"/>
    <col min="8716" max="8716" width="14.33203125" style="2" customWidth="1"/>
    <col min="8717" max="8717" width="4" style="2" customWidth="1"/>
    <col min="8718" max="8969" width="7.6640625" style="2" customWidth="1"/>
    <col min="8970" max="8970" width="14.33203125" style="2" customWidth="1"/>
    <col min="8971" max="8971" width="4" style="2" customWidth="1"/>
    <col min="8972" max="8972" width="14.33203125" style="2" customWidth="1"/>
    <col min="8973" max="8973" width="4" style="2" customWidth="1"/>
    <col min="8974" max="9225" width="7.6640625" style="2" customWidth="1"/>
    <col min="9226" max="9226" width="14.33203125" style="2" customWidth="1"/>
    <col min="9227" max="9227" width="4" style="2" customWidth="1"/>
    <col min="9228" max="9228" width="14.33203125" style="2" customWidth="1"/>
    <col min="9229" max="9229" width="4" style="2" customWidth="1"/>
    <col min="9230" max="9481" width="7.6640625" style="2" customWidth="1"/>
    <col min="9482" max="9482" width="14.33203125" style="2" customWidth="1"/>
    <col min="9483" max="9483" width="4" style="2" customWidth="1"/>
    <col min="9484" max="9484" width="14.33203125" style="2" customWidth="1"/>
    <col min="9485" max="9485" width="4" style="2" customWidth="1"/>
    <col min="9486" max="9737" width="7.6640625" style="2" customWidth="1"/>
    <col min="9738" max="9738" width="14.33203125" style="2" customWidth="1"/>
    <col min="9739" max="9739" width="4" style="2" customWidth="1"/>
    <col min="9740" max="9740" width="14.33203125" style="2" customWidth="1"/>
    <col min="9741" max="9741" width="4" style="2" customWidth="1"/>
    <col min="9742" max="9993" width="7.6640625" style="2" customWidth="1"/>
    <col min="9994" max="9994" width="14.33203125" style="2" customWidth="1"/>
    <col min="9995" max="9995" width="4" style="2" customWidth="1"/>
    <col min="9996" max="9996" width="14.33203125" style="2" customWidth="1"/>
    <col min="9997" max="9997" width="4" style="2" customWidth="1"/>
    <col min="9998" max="10249" width="7.6640625" style="2" customWidth="1"/>
    <col min="10250" max="10250" width="14.33203125" style="2" customWidth="1"/>
    <col min="10251" max="10251" width="4" style="2" customWidth="1"/>
    <col min="10252" max="10252" width="14.33203125" style="2" customWidth="1"/>
    <col min="10253" max="10253" width="4" style="2" customWidth="1"/>
    <col min="10254" max="10505" width="7.6640625" style="2" customWidth="1"/>
    <col min="10506" max="10506" width="14.33203125" style="2" customWidth="1"/>
    <col min="10507" max="10507" width="4" style="2" customWidth="1"/>
    <col min="10508" max="10508" width="14.33203125" style="2" customWidth="1"/>
    <col min="10509" max="10509" width="4" style="2" customWidth="1"/>
    <col min="10510" max="10761" width="7.6640625" style="2" customWidth="1"/>
    <col min="10762" max="10762" width="14.33203125" style="2" customWidth="1"/>
    <col min="10763" max="10763" width="4" style="2" customWidth="1"/>
    <col min="10764" max="10764" width="14.33203125" style="2" customWidth="1"/>
    <col min="10765" max="10765" width="4" style="2" customWidth="1"/>
    <col min="10766" max="11017" width="7.6640625" style="2" customWidth="1"/>
    <col min="11018" max="11018" width="14.33203125" style="2" customWidth="1"/>
    <col min="11019" max="11019" width="4" style="2" customWidth="1"/>
    <col min="11020" max="11020" width="14.33203125" style="2" customWidth="1"/>
    <col min="11021" max="11021" width="4" style="2" customWidth="1"/>
    <col min="11022" max="11273" width="7.6640625" style="2" customWidth="1"/>
    <col min="11274" max="11274" width="14.33203125" style="2" customWidth="1"/>
    <col min="11275" max="11275" width="4" style="2" customWidth="1"/>
    <col min="11276" max="11276" width="14.33203125" style="2" customWidth="1"/>
    <col min="11277" max="11277" width="4" style="2" customWidth="1"/>
    <col min="11278" max="11529" width="7.6640625" style="2" customWidth="1"/>
    <col min="11530" max="11530" width="14.33203125" style="2" customWidth="1"/>
    <col min="11531" max="11531" width="4" style="2" customWidth="1"/>
    <col min="11532" max="11532" width="14.33203125" style="2" customWidth="1"/>
    <col min="11533" max="11533" width="4" style="2" customWidth="1"/>
    <col min="11534" max="11785" width="7.6640625" style="2" customWidth="1"/>
    <col min="11786" max="11786" width="14.33203125" style="2" customWidth="1"/>
    <col min="11787" max="11787" width="4" style="2" customWidth="1"/>
    <col min="11788" max="11788" width="14.33203125" style="2" customWidth="1"/>
    <col min="11789" max="11789" width="4" style="2" customWidth="1"/>
    <col min="11790" max="12041" width="7.6640625" style="2" customWidth="1"/>
    <col min="12042" max="12042" width="14.33203125" style="2" customWidth="1"/>
    <col min="12043" max="12043" width="4" style="2" customWidth="1"/>
    <col min="12044" max="12044" width="14.33203125" style="2" customWidth="1"/>
    <col min="12045" max="12045" width="4" style="2" customWidth="1"/>
    <col min="12046" max="12297" width="7.6640625" style="2" customWidth="1"/>
    <col min="12298" max="12298" width="14.33203125" style="2" customWidth="1"/>
    <col min="12299" max="12299" width="4" style="2" customWidth="1"/>
    <col min="12300" max="12300" width="14.33203125" style="2" customWidth="1"/>
    <col min="12301" max="12301" width="4" style="2" customWidth="1"/>
    <col min="12302" max="12553" width="7.6640625" style="2" customWidth="1"/>
    <col min="12554" max="12554" width="14.33203125" style="2" customWidth="1"/>
    <col min="12555" max="12555" width="4" style="2" customWidth="1"/>
    <col min="12556" max="12556" width="14.33203125" style="2" customWidth="1"/>
    <col min="12557" max="12557" width="4" style="2" customWidth="1"/>
    <col min="12558" max="12809" width="7.6640625" style="2" customWidth="1"/>
    <col min="12810" max="12810" width="14.33203125" style="2" customWidth="1"/>
    <col min="12811" max="12811" width="4" style="2" customWidth="1"/>
    <col min="12812" max="12812" width="14.33203125" style="2" customWidth="1"/>
    <col min="12813" max="12813" width="4" style="2" customWidth="1"/>
    <col min="12814" max="13065" width="7.6640625" style="2" customWidth="1"/>
    <col min="13066" max="13066" width="14.33203125" style="2" customWidth="1"/>
    <col min="13067" max="13067" width="4" style="2" customWidth="1"/>
    <col min="13068" max="13068" width="14.33203125" style="2" customWidth="1"/>
    <col min="13069" max="13069" width="4" style="2" customWidth="1"/>
    <col min="13070" max="13321" width="7.6640625" style="2" customWidth="1"/>
    <col min="13322" max="13322" width="14.33203125" style="2" customWidth="1"/>
    <col min="13323" max="13323" width="4" style="2" customWidth="1"/>
    <col min="13324" max="13324" width="14.33203125" style="2" customWidth="1"/>
    <col min="13325" max="13325" width="4" style="2" customWidth="1"/>
    <col min="13326" max="13577" width="7.6640625" style="2" customWidth="1"/>
    <col min="13578" max="13578" width="14.33203125" style="2" customWidth="1"/>
    <col min="13579" max="13579" width="4" style="2" customWidth="1"/>
    <col min="13580" max="13580" width="14.33203125" style="2" customWidth="1"/>
    <col min="13581" max="13581" width="4" style="2" customWidth="1"/>
    <col min="13582" max="13833" width="7.6640625" style="2" customWidth="1"/>
    <col min="13834" max="13834" width="14.33203125" style="2" customWidth="1"/>
    <col min="13835" max="13835" width="4" style="2" customWidth="1"/>
    <col min="13836" max="13836" width="14.33203125" style="2" customWidth="1"/>
    <col min="13837" max="13837" width="4" style="2" customWidth="1"/>
    <col min="13838" max="14089" width="7.6640625" style="2" customWidth="1"/>
    <col min="14090" max="14090" width="14.33203125" style="2" customWidth="1"/>
    <col min="14091" max="14091" width="4" style="2" customWidth="1"/>
    <col min="14092" max="14092" width="14.33203125" style="2" customWidth="1"/>
    <col min="14093" max="14093" width="4" style="2" customWidth="1"/>
    <col min="14094" max="14345" width="7.6640625" style="2" customWidth="1"/>
    <col min="14346" max="14346" width="14.33203125" style="2" customWidth="1"/>
    <col min="14347" max="14347" width="4" style="2" customWidth="1"/>
    <col min="14348" max="14348" width="14.33203125" style="2" customWidth="1"/>
    <col min="14349" max="14349" width="4" style="2" customWidth="1"/>
    <col min="14350" max="14601" width="7.6640625" style="2" customWidth="1"/>
    <col min="14602" max="14602" width="14.33203125" style="2" customWidth="1"/>
    <col min="14603" max="14603" width="4" style="2" customWidth="1"/>
    <col min="14604" max="14604" width="14.33203125" style="2" customWidth="1"/>
    <col min="14605" max="14605" width="4" style="2" customWidth="1"/>
    <col min="14606" max="14857" width="7.6640625" style="2" customWidth="1"/>
    <col min="14858" max="14858" width="14.33203125" style="2" customWidth="1"/>
    <col min="14859" max="14859" width="4" style="2" customWidth="1"/>
    <col min="14860" max="14860" width="14.33203125" style="2" customWidth="1"/>
    <col min="14861" max="14861" width="4" style="2" customWidth="1"/>
    <col min="14862" max="15113" width="7.6640625" style="2" customWidth="1"/>
    <col min="15114" max="15114" width="14.33203125" style="2" customWidth="1"/>
    <col min="15115" max="15115" width="4" style="2" customWidth="1"/>
    <col min="15116" max="15116" width="14.33203125" style="2" customWidth="1"/>
    <col min="15117" max="15117" width="4" style="2" customWidth="1"/>
    <col min="15118" max="15369" width="7.6640625" style="2" customWidth="1"/>
    <col min="15370" max="15370" width="14.33203125" style="2" customWidth="1"/>
    <col min="15371" max="15371" width="4" style="2" customWidth="1"/>
    <col min="15372" max="15372" width="14.33203125" style="2" customWidth="1"/>
    <col min="15373" max="15373" width="4" style="2" customWidth="1"/>
    <col min="15374" max="15625" width="7.6640625" style="2" customWidth="1"/>
    <col min="15626" max="15626" width="14.33203125" style="2" customWidth="1"/>
    <col min="15627" max="15627" width="4" style="2" customWidth="1"/>
    <col min="15628" max="15628" width="14.33203125" style="2" customWidth="1"/>
    <col min="15629" max="15629" width="4" style="2" customWidth="1"/>
    <col min="15630" max="15881" width="7.6640625" style="2" customWidth="1"/>
    <col min="15882" max="15882" width="14.33203125" style="2" customWidth="1"/>
    <col min="15883" max="15883" width="4" style="2" customWidth="1"/>
    <col min="15884" max="15884" width="14.33203125" style="2" customWidth="1"/>
    <col min="15885" max="15885" width="4" style="2" customWidth="1"/>
    <col min="15886" max="16137" width="7.6640625" style="2" customWidth="1"/>
    <col min="16138" max="16138" width="14.33203125" style="2" customWidth="1"/>
    <col min="16139" max="16139" width="4" style="2" customWidth="1"/>
    <col min="16140" max="16140" width="14.33203125" style="2" customWidth="1"/>
    <col min="16141" max="16141" width="4" style="2" customWidth="1"/>
    <col min="16142" max="16384" width="7.6640625" style="2" customWidth="1"/>
  </cols>
  <sheetData>
    <row r="1" spans="1:25" ht="15" customHeight="1" x14ac:dyDescent="0.3">
      <c r="A1" s="85"/>
      <c r="B1" s="86"/>
      <c r="C1" s="86"/>
      <c r="D1" s="86"/>
      <c r="E1" s="1"/>
      <c r="F1" s="1"/>
      <c r="G1" s="1"/>
      <c r="H1" s="1"/>
      <c r="I1" s="1"/>
      <c r="J1" s="1"/>
      <c r="K1" s="1"/>
      <c r="L1" s="1"/>
      <c r="M1" s="1"/>
      <c r="N1" s="1"/>
      <c r="O1" s="1"/>
      <c r="P1" s="1"/>
      <c r="Q1" s="1"/>
      <c r="R1" s="1"/>
      <c r="S1" s="1"/>
      <c r="T1" s="1"/>
      <c r="U1" s="1"/>
      <c r="V1" s="1"/>
      <c r="W1" s="1"/>
      <c r="X1" s="1"/>
      <c r="Y1" s="1"/>
    </row>
    <row r="2" spans="1:25" ht="15" customHeight="1" x14ac:dyDescent="0.3">
      <c r="A2" s="3"/>
      <c r="B2" s="589" t="s">
        <v>139</v>
      </c>
      <c r="C2" s="3"/>
      <c r="D2" s="3"/>
      <c r="E2" s="3"/>
      <c r="F2" s="3"/>
      <c r="G2" s="3"/>
      <c r="H2" s="3"/>
      <c r="I2" s="14"/>
      <c r="J2" s="14"/>
      <c r="K2" s="711" t="s">
        <v>506</v>
      </c>
      <c r="L2" s="151"/>
      <c r="M2" s="151"/>
      <c r="N2" s="151"/>
      <c r="O2" s="151"/>
      <c r="P2" s="7"/>
      <c r="Q2" s="7"/>
      <c r="R2" s="7"/>
      <c r="S2" s="7"/>
      <c r="T2" s="7"/>
      <c r="U2" s="7"/>
      <c r="V2" s="7"/>
      <c r="W2" s="7"/>
      <c r="X2" s="7"/>
      <c r="Y2" s="79"/>
    </row>
    <row r="3" spans="1:25" ht="15" customHeight="1" x14ac:dyDescent="0.3">
      <c r="A3" s="3"/>
      <c r="B3" s="615" t="s">
        <v>172</v>
      </c>
      <c r="C3" s="3"/>
      <c r="D3" s="3"/>
      <c r="E3" s="3"/>
      <c r="F3" s="3"/>
      <c r="G3" s="3"/>
      <c r="H3" s="3"/>
      <c r="I3" s="3"/>
      <c r="J3" s="3"/>
      <c r="K3" s="1139" t="s">
        <v>439</v>
      </c>
      <c r="L3" s="1140"/>
      <c r="M3" s="1140"/>
      <c r="N3" s="1140"/>
      <c r="O3" s="1140"/>
      <c r="P3" s="1140"/>
      <c r="Q3" s="1140"/>
      <c r="R3" s="1140"/>
      <c r="S3" s="1140"/>
      <c r="T3" s="1140"/>
      <c r="U3" s="1140"/>
      <c r="V3" s="1140"/>
      <c r="W3" s="1140"/>
      <c r="X3" s="1141"/>
      <c r="Y3" s="79"/>
    </row>
    <row r="4" spans="1:25" ht="15" customHeight="1" x14ac:dyDescent="0.3">
      <c r="A4" s="3"/>
      <c r="B4" s="594" t="str">
        <f>Overview!$B$7</f>
        <v>Grove Park Drive</v>
      </c>
      <c r="C4" s="3"/>
      <c r="D4" s="3"/>
      <c r="E4" s="3"/>
      <c r="F4" s="3"/>
      <c r="G4" s="3"/>
      <c r="H4" s="3"/>
      <c r="I4" s="3"/>
      <c r="J4" s="3"/>
      <c r="K4" s="1142"/>
      <c r="L4" s="1143"/>
      <c r="M4" s="1143"/>
      <c r="N4" s="1143"/>
      <c r="O4" s="1143"/>
      <c r="P4" s="1143"/>
      <c r="Q4" s="1143"/>
      <c r="R4" s="1143"/>
      <c r="S4" s="1143"/>
      <c r="T4" s="1143"/>
      <c r="U4" s="1143"/>
      <c r="V4" s="1143"/>
      <c r="W4" s="1143"/>
      <c r="X4" s="1144"/>
      <c r="Y4" s="79"/>
    </row>
    <row r="5" spans="1:25" ht="15" customHeight="1" thickBot="1" x14ac:dyDescent="0.35">
      <c r="A5" s="3"/>
      <c r="B5" s="594"/>
      <c r="C5" s="3"/>
      <c r="D5" s="3"/>
      <c r="E5" s="3"/>
      <c r="F5" s="3"/>
      <c r="G5" s="3"/>
      <c r="H5" s="3"/>
      <c r="I5" s="3"/>
      <c r="J5" s="3"/>
      <c r="K5" s="7"/>
      <c r="L5" s="7"/>
      <c r="M5" s="7"/>
      <c r="N5" s="7"/>
      <c r="O5" s="7"/>
      <c r="P5" s="7"/>
      <c r="Q5" s="7"/>
      <c r="R5" s="7"/>
      <c r="S5" s="7"/>
      <c r="T5" s="7"/>
      <c r="U5" s="7"/>
      <c r="V5" s="7"/>
      <c r="W5" s="7"/>
      <c r="X5" s="7"/>
      <c r="Y5" s="79"/>
    </row>
    <row r="6" spans="1:25" ht="15" customHeight="1" thickBot="1" x14ac:dyDescent="0.35">
      <c r="A6" s="3"/>
      <c r="B6" s="100" t="s">
        <v>16</v>
      </c>
      <c r="C6" s="7"/>
      <c r="D6" s="7"/>
      <c r="E6" s="7"/>
      <c r="F6" s="7"/>
      <c r="G6" s="7"/>
      <c r="H6" s="1028" t="s">
        <v>32</v>
      </c>
      <c r="I6" s="1029"/>
      <c r="J6" s="3"/>
      <c r="K6" s="1092" t="s">
        <v>169</v>
      </c>
      <c r="L6" s="1093"/>
      <c r="M6" s="1093"/>
      <c r="N6" s="1093"/>
      <c r="O6" s="1093"/>
      <c r="P6" s="1093"/>
      <c r="Q6" s="1093"/>
      <c r="R6" s="1093"/>
      <c r="S6" s="1093"/>
      <c r="T6" s="1093"/>
      <c r="U6" s="1093"/>
      <c r="V6" s="1093"/>
      <c r="W6" s="1093"/>
      <c r="X6" s="1094"/>
      <c r="Y6" s="79"/>
    </row>
    <row r="7" spans="1:25" ht="15" customHeight="1" thickBot="1" x14ac:dyDescent="0.35">
      <c r="A7" s="3"/>
      <c r="B7" s="288"/>
      <c r="C7" s="7"/>
      <c r="D7" s="7"/>
      <c r="E7" s="7"/>
      <c r="F7" s="7"/>
      <c r="G7" s="7"/>
      <c r="H7" s="1016"/>
      <c r="I7" s="1016"/>
      <c r="J7" s="3"/>
      <c r="K7" s="1089" t="s">
        <v>51</v>
      </c>
      <c r="L7" s="1090"/>
      <c r="M7" s="1090"/>
      <c r="N7" s="1090"/>
      <c r="O7" s="1091"/>
      <c r="P7" s="178" t="s">
        <v>54</v>
      </c>
      <c r="Q7" s="1092" t="s">
        <v>52</v>
      </c>
      <c r="R7" s="1145"/>
      <c r="S7" s="1149" t="s">
        <v>53</v>
      </c>
      <c r="T7" s="1093"/>
      <c r="U7" s="1145"/>
      <c r="V7" s="1149" t="s">
        <v>168</v>
      </c>
      <c r="W7" s="1093"/>
      <c r="X7" s="1094"/>
      <c r="Y7" s="79"/>
    </row>
    <row r="8" spans="1:25" ht="15" customHeight="1" x14ac:dyDescent="0.3">
      <c r="A8" s="3"/>
      <c r="B8" s="711" t="s">
        <v>104</v>
      </c>
      <c r="C8" s="7"/>
      <c r="D8" s="7"/>
      <c r="E8" s="7"/>
      <c r="F8" s="7"/>
      <c r="G8" s="7"/>
      <c r="H8" s="1016">
        <f>VLOOKUP(Overview!E26,'Lighting Data'!$B$9:$L$17,MATCH(H6,'Lighting Data'!$B$7:$L$7,0),FALSE)</f>
        <v>56</v>
      </c>
      <c r="I8" s="1016"/>
      <c r="J8" s="3"/>
      <c r="K8" s="1114" t="s">
        <v>167</v>
      </c>
      <c r="L8" s="1111"/>
      <c r="M8" s="1111"/>
      <c r="N8" s="1111"/>
      <c r="O8" s="1115"/>
      <c r="P8" s="177" t="s">
        <v>55</v>
      </c>
      <c r="Q8" s="1112">
        <f>('Scheme Entry - Baseline'!W46*1000)/H8*Overview!E29</f>
        <v>1607.1428571428571</v>
      </c>
      <c r="R8" s="1113"/>
      <c r="S8" s="1146">
        <v>2175</v>
      </c>
      <c r="T8" s="1147"/>
      <c r="U8" s="1148"/>
      <c r="V8" s="1150">
        <f>S8*Q8</f>
        <v>3495535.7142857141</v>
      </c>
      <c r="W8" s="1151"/>
      <c r="X8" s="1152"/>
      <c r="Y8" s="79"/>
    </row>
    <row r="9" spans="1:25" ht="15" customHeight="1" x14ac:dyDescent="0.3">
      <c r="A9" s="3"/>
      <c r="B9" s="288"/>
      <c r="C9" s="7"/>
      <c r="D9" s="7"/>
      <c r="E9" s="7"/>
      <c r="F9" s="7"/>
      <c r="G9" s="7"/>
      <c r="H9" s="1016"/>
      <c r="I9" s="1016"/>
      <c r="J9" s="3"/>
      <c r="K9" s="1095" t="s">
        <v>502</v>
      </c>
      <c r="L9" s="1096"/>
      <c r="M9" s="1096"/>
      <c r="N9" s="1096"/>
      <c r="O9" s="1097"/>
      <c r="P9" s="563" t="s">
        <v>55</v>
      </c>
      <c r="Q9" s="1101">
        <v>0</v>
      </c>
      <c r="R9" s="1102"/>
      <c r="S9" s="1098">
        <v>3000</v>
      </c>
      <c r="T9" s="1099"/>
      <c r="U9" s="1100"/>
      <c r="V9" s="1122">
        <f>S9*Q9</f>
        <v>0</v>
      </c>
      <c r="W9" s="1123"/>
      <c r="X9" s="1132"/>
      <c r="Y9" s="79"/>
    </row>
    <row r="10" spans="1:25" ht="15" customHeight="1" x14ac:dyDescent="0.3">
      <c r="A10" s="3"/>
      <c r="B10" s="100" t="s">
        <v>103</v>
      </c>
      <c r="C10" s="7"/>
      <c r="D10" s="7"/>
      <c r="E10" s="7"/>
      <c r="F10" s="7"/>
      <c r="G10" s="7"/>
      <c r="H10" s="1016">
        <f>VLOOKUP(Overview!E26,'Lighting Data'!B23:L31,MATCH(H6,'Lighting Data'!B21:L21,0),FALSE)</f>
        <v>171</v>
      </c>
      <c r="I10" s="1016"/>
      <c r="J10" s="3"/>
      <c r="K10" s="1095" t="s">
        <v>56</v>
      </c>
      <c r="L10" s="1096"/>
      <c r="M10" s="1096"/>
      <c r="N10" s="1096"/>
      <c r="O10" s="1097"/>
      <c r="P10" s="563" t="s">
        <v>55</v>
      </c>
      <c r="Q10" s="1103">
        <f>Q12</f>
        <v>22.5</v>
      </c>
      <c r="R10" s="1104"/>
      <c r="S10" s="1098">
        <v>2000</v>
      </c>
      <c r="T10" s="1099"/>
      <c r="U10" s="1100"/>
      <c r="V10" s="1122">
        <f t="shared" ref="V10:V19" si="0">S10*Q10</f>
        <v>45000</v>
      </c>
      <c r="W10" s="1123"/>
      <c r="X10" s="1132"/>
      <c r="Y10" s="79"/>
    </row>
    <row r="11" spans="1:25" ht="15" customHeight="1" x14ac:dyDescent="0.3">
      <c r="A11" s="114"/>
      <c r="B11" s="288"/>
      <c r="C11" s="7"/>
      <c r="D11" s="7"/>
      <c r="E11" s="7"/>
      <c r="F11" s="7"/>
      <c r="G11" s="7"/>
      <c r="H11" s="1016"/>
      <c r="I11" s="1016"/>
      <c r="J11" s="3"/>
      <c r="K11" s="1095" t="s">
        <v>358</v>
      </c>
      <c r="L11" s="1096"/>
      <c r="M11" s="1096"/>
      <c r="N11" s="1096"/>
      <c r="O11" s="1097"/>
      <c r="P11" s="563" t="s">
        <v>63</v>
      </c>
      <c r="Q11" s="1101">
        <f>('Scheme Entry - Baseline'!W46*1000)*Overview!E29</f>
        <v>90000</v>
      </c>
      <c r="R11" s="1102"/>
      <c r="S11" s="1098">
        <v>14</v>
      </c>
      <c r="T11" s="1099"/>
      <c r="U11" s="1100"/>
      <c r="V11" s="1122">
        <f t="shared" si="0"/>
        <v>1260000</v>
      </c>
      <c r="W11" s="1123"/>
      <c r="X11" s="1132"/>
      <c r="Y11" s="79"/>
    </row>
    <row r="12" spans="1:25" ht="15" customHeight="1" x14ac:dyDescent="0.3">
      <c r="A12" s="3"/>
      <c r="B12" s="100" t="s">
        <v>320</v>
      </c>
      <c r="C12" s="7"/>
      <c r="D12" s="7"/>
      <c r="E12" s="7"/>
      <c r="F12" s="7"/>
      <c r="G12" s="7"/>
      <c r="H12" s="1028">
        <v>2000</v>
      </c>
      <c r="I12" s="1029"/>
      <c r="J12" s="3"/>
      <c r="K12" s="1095" t="s">
        <v>57</v>
      </c>
      <c r="L12" s="1096"/>
      <c r="M12" s="1096"/>
      <c r="N12" s="1096"/>
      <c r="O12" s="1097"/>
      <c r="P12" s="563" t="s">
        <v>55</v>
      </c>
      <c r="Q12" s="1116">
        <f>('Scheme Entry - Baseline'!W46*1000)/'Sensitivity 1'!H12</f>
        <v>22.5</v>
      </c>
      <c r="R12" s="1117"/>
      <c r="S12" s="1098">
        <v>1200</v>
      </c>
      <c r="T12" s="1099"/>
      <c r="U12" s="1100"/>
      <c r="V12" s="1122">
        <f t="shared" si="0"/>
        <v>27000</v>
      </c>
      <c r="W12" s="1123"/>
      <c r="X12" s="1132"/>
      <c r="Y12" s="79"/>
    </row>
    <row r="13" spans="1:25" ht="15" customHeight="1" x14ac:dyDescent="0.3">
      <c r="A13" s="3"/>
      <c r="B13" s="7"/>
      <c r="C13" s="7"/>
      <c r="D13" s="7"/>
      <c r="E13" s="7"/>
      <c r="F13" s="7"/>
      <c r="G13" s="7"/>
      <c r="H13" s="1016"/>
      <c r="I13" s="1016"/>
      <c r="J13" s="3"/>
      <c r="K13" s="1095" t="s">
        <v>58</v>
      </c>
      <c r="L13" s="1096"/>
      <c r="M13" s="1096"/>
      <c r="N13" s="1096"/>
      <c r="O13" s="1097"/>
      <c r="P13" s="563" t="s">
        <v>55</v>
      </c>
      <c r="Q13" s="1103">
        <f>Q8</f>
        <v>1607.1428571428571</v>
      </c>
      <c r="R13" s="1102"/>
      <c r="S13" s="1098">
        <v>39</v>
      </c>
      <c r="T13" s="1099"/>
      <c r="U13" s="1100"/>
      <c r="V13" s="1122">
        <f t="shared" si="0"/>
        <v>62678.571428571428</v>
      </c>
      <c r="W13" s="1123"/>
      <c r="X13" s="1132"/>
      <c r="Y13" s="79"/>
    </row>
    <row r="14" spans="1:25" ht="15" customHeight="1" x14ac:dyDescent="0.25">
      <c r="A14" s="3"/>
      <c r="B14" s="536" t="s">
        <v>17</v>
      </c>
      <c r="C14" s="7"/>
      <c r="D14" s="7"/>
      <c r="E14" s="7"/>
      <c r="F14" s="7"/>
      <c r="G14" s="7"/>
      <c r="H14" s="1028" t="s">
        <v>294</v>
      </c>
      <c r="I14" s="1029"/>
      <c r="J14" s="3"/>
      <c r="K14" s="1095" t="s">
        <v>59</v>
      </c>
      <c r="L14" s="1096"/>
      <c r="M14" s="1096"/>
      <c r="N14" s="1096"/>
      <c r="O14" s="1097"/>
      <c r="P14" s="563" t="s">
        <v>55</v>
      </c>
      <c r="Q14" s="1103">
        <f>Q12*5</f>
        <v>112.5</v>
      </c>
      <c r="R14" s="1104"/>
      <c r="S14" s="1098">
        <v>55</v>
      </c>
      <c r="T14" s="1099"/>
      <c r="U14" s="1100"/>
      <c r="V14" s="1122">
        <f t="shared" si="0"/>
        <v>6187.5</v>
      </c>
      <c r="W14" s="1123"/>
      <c r="X14" s="1132"/>
      <c r="Y14" s="79"/>
    </row>
    <row r="15" spans="1:25" ht="15" customHeight="1" x14ac:dyDescent="0.25">
      <c r="A15" s="114"/>
      <c r="B15" s="584"/>
      <c r="C15" s="7"/>
      <c r="D15" s="7"/>
      <c r="E15" s="7"/>
      <c r="F15" s="7"/>
      <c r="G15" s="7"/>
      <c r="H15" s="1016"/>
      <c r="I15" s="1016"/>
      <c r="J15" s="3"/>
      <c r="K15" s="1095" t="s">
        <v>503</v>
      </c>
      <c r="L15" s="1096"/>
      <c r="M15" s="1096"/>
      <c r="N15" s="1096"/>
      <c r="O15" s="1097"/>
      <c r="P15" s="563" t="s">
        <v>55</v>
      </c>
      <c r="Q15" s="1103">
        <f>Q12*2</f>
        <v>45</v>
      </c>
      <c r="R15" s="1104"/>
      <c r="S15" s="1098">
        <v>750</v>
      </c>
      <c r="T15" s="1099"/>
      <c r="U15" s="1100"/>
      <c r="V15" s="1122">
        <f t="shared" si="0"/>
        <v>33750</v>
      </c>
      <c r="W15" s="1123"/>
      <c r="X15" s="1132"/>
      <c r="Y15" s="79"/>
    </row>
    <row r="16" spans="1:25" ht="15" customHeight="1" x14ac:dyDescent="0.25">
      <c r="A16" s="114"/>
      <c r="B16" s="607" t="s">
        <v>298</v>
      </c>
      <c r="C16" s="539"/>
      <c r="D16" s="539"/>
      <c r="E16" s="539"/>
      <c r="F16" s="7"/>
      <c r="G16" s="7"/>
      <c r="H16" s="1120">
        <v>0.28000000000000003</v>
      </c>
      <c r="I16" s="1121"/>
      <c r="K16" s="1095" t="s">
        <v>170</v>
      </c>
      <c r="L16" s="1096"/>
      <c r="M16" s="1096"/>
      <c r="N16" s="1096"/>
      <c r="O16" s="1097"/>
      <c r="P16" s="563" t="s">
        <v>55</v>
      </c>
      <c r="Q16" s="1101">
        <f>Overview!H29*4*2</f>
        <v>40</v>
      </c>
      <c r="R16" s="1102"/>
      <c r="S16" s="1098">
        <v>750</v>
      </c>
      <c r="T16" s="1099"/>
      <c r="U16" s="1100"/>
      <c r="V16" s="1122">
        <f t="shared" si="0"/>
        <v>30000</v>
      </c>
      <c r="W16" s="1123"/>
      <c r="X16" s="1132"/>
      <c r="Y16" s="79"/>
    </row>
    <row r="17" spans="1:25" ht="15" customHeight="1" x14ac:dyDescent="0.3">
      <c r="A17" s="3"/>
      <c r="B17" s="709"/>
      <c r="C17" s="7"/>
      <c r="D17" s="7"/>
      <c r="E17" s="7"/>
      <c r="F17" s="7"/>
      <c r="G17" s="7"/>
      <c r="H17" s="1016"/>
      <c r="I17" s="1016"/>
      <c r="J17" s="3"/>
      <c r="K17" s="1095" t="s">
        <v>357</v>
      </c>
      <c r="L17" s="1096"/>
      <c r="M17" s="1096"/>
      <c r="N17" s="1096"/>
      <c r="O17" s="1097"/>
      <c r="P17" s="563" t="s">
        <v>63</v>
      </c>
      <c r="Q17" s="1103">
        <f>('Scheme Entry - Baseline'!W46*1000)*Overview!E29</f>
        <v>90000</v>
      </c>
      <c r="R17" s="1104"/>
      <c r="S17" s="1098">
        <v>9</v>
      </c>
      <c r="T17" s="1099"/>
      <c r="U17" s="1100"/>
      <c r="V17" s="1122">
        <f t="shared" si="0"/>
        <v>810000</v>
      </c>
      <c r="W17" s="1123"/>
      <c r="X17" s="1132"/>
      <c r="Y17" s="79"/>
    </row>
    <row r="18" spans="1:25" ht="15" customHeight="1" x14ac:dyDescent="0.3">
      <c r="A18" s="3"/>
      <c r="B18" s="709" t="s">
        <v>41</v>
      </c>
      <c r="C18" s="7"/>
      <c r="D18" s="7"/>
      <c r="E18" s="7"/>
      <c r="F18" s="7"/>
      <c r="G18" s="7"/>
      <c r="H18" s="1120">
        <v>0.2</v>
      </c>
      <c r="I18" s="1121"/>
      <c r="J18" s="3"/>
      <c r="K18" s="1095" t="s">
        <v>499</v>
      </c>
      <c r="L18" s="1096"/>
      <c r="M18" s="1096"/>
      <c r="N18" s="1096"/>
      <c r="O18" s="1097"/>
      <c r="P18" s="563" t="s">
        <v>55</v>
      </c>
      <c r="Q18" s="1103">
        <f>Q12</f>
        <v>22.5</v>
      </c>
      <c r="R18" s="1102"/>
      <c r="S18" s="1098">
        <v>1750</v>
      </c>
      <c r="T18" s="1099"/>
      <c r="U18" s="1100"/>
      <c r="V18" s="1122">
        <f t="shared" si="0"/>
        <v>39375</v>
      </c>
      <c r="W18" s="1123"/>
      <c r="X18" s="1132"/>
      <c r="Y18" s="79"/>
    </row>
    <row r="19" spans="1:25" ht="15" customHeight="1" x14ac:dyDescent="0.3">
      <c r="A19" s="3"/>
      <c r="B19" s="7"/>
      <c r="C19" s="709"/>
      <c r="D19" s="709"/>
      <c r="E19" s="709"/>
      <c r="F19" s="709"/>
      <c r="G19" s="709"/>
      <c r="H19" s="1016"/>
      <c r="I19" s="1016"/>
      <c r="J19" s="200"/>
      <c r="K19" s="1095" t="s">
        <v>60</v>
      </c>
      <c r="L19" s="1096"/>
      <c r="M19" s="1096"/>
      <c r="N19" s="1096"/>
      <c r="O19" s="1097"/>
      <c r="P19" s="563" t="s">
        <v>55</v>
      </c>
      <c r="Q19" s="1103">
        <f>Q12</f>
        <v>22.5</v>
      </c>
      <c r="R19" s="1104"/>
      <c r="S19" s="1098">
        <v>6250</v>
      </c>
      <c r="T19" s="1099"/>
      <c r="U19" s="1100"/>
      <c r="V19" s="1122">
        <f t="shared" si="0"/>
        <v>140625</v>
      </c>
      <c r="W19" s="1123"/>
      <c r="X19" s="1132"/>
      <c r="Y19" s="79"/>
    </row>
    <row r="20" spans="1:25" ht="15" customHeight="1" thickBot="1" x14ac:dyDescent="0.35">
      <c r="A20" s="3"/>
      <c r="B20" s="7" t="s">
        <v>137</v>
      </c>
      <c r="C20" s="709"/>
      <c r="D20" s="709"/>
      <c r="E20" s="709"/>
      <c r="F20" s="709"/>
      <c r="G20" s="709"/>
      <c r="H20" s="1028" t="s">
        <v>129</v>
      </c>
      <c r="I20" s="1029"/>
      <c r="J20" s="200"/>
      <c r="K20" s="1108" t="s">
        <v>166</v>
      </c>
      <c r="L20" s="1109"/>
      <c r="M20" s="1109"/>
      <c r="N20" s="1109"/>
      <c r="O20" s="1110"/>
      <c r="P20" s="562" t="s">
        <v>55</v>
      </c>
      <c r="Q20" s="1129">
        <v>0</v>
      </c>
      <c r="R20" s="1130"/>
      <c r="S20" s="1133">
        <v>0</v>
      </c>
      <c r="T20" s="1134"/>
      <c r="U20" s="1135"/>
      <c r="V20" s="1136">
        <f>S20*Q20</f>
        <v>0</v>
      </c>
      <c r="W20" s="1137"/>
      <c r="X20" s="1138"/>
      <c r="Y20" s="79"/>
    </row>
    <row r="21" spans="1:25" ht="15" customHeight="1" x14ac:dyDescent="0.3">
      <c r="A21" s="3"/>
      <c r="B21" s="709"/>
      <c r="C21" s="709"/>
      <c r="D21" s="709"/>
      <c r="E21" s="709"/>
      <c r="F21" s="709"/>
      <c r="G21" s="709"/>
      <c r="H21" s="709"/>
      <c r="I21" s="709"/>
      <c r="J21" s="200"/>
      <c r="K21" s="1111"/>
      <c r="L21" s="1111"/>
      <c r="M21" s="1111"/>
      <c r="N21" s="1111"/>
      <c r="O21" s="1111"/>
      <c r="P21" s="565"/>
      <c r="Q21" s="1051" t="s">
        <v>142</v>
      </c>
      <c r="R21" s="1051"/>
      <c r="S21" s="1051"/>
      <c r="T21" s="1051"/>
      <c r="U21" s="1051"/>
      <c r="V21" s="1124">
        <f>SUM(V8:V20)</f>
        <v>5950151.7857142864</v>
      </c>
      <c r="W21" s="1124"/>
      <c r="X21" s="1124"/>
      <c r="Y21" s="79"/>
    </row>
    <row r="22" spans="1:25" ht="15" customHeight="1" x14ac:dyDescent="0.3">
      <c r="A22" s="3"/>
      <c r="B22" s="7" t="s">
        <v>299</v>
      </c>
      <c r="C22" s="709"/>
      <c r="D22" s="709"/>
      <c r="E22" s="709"/>
      <c r="F22" s="709"/>
      <c r="G22" s="709"/>
      <c r="H22" s="1118">
        <v>1250</v>
      </c>
      <c r="I22" s="1119"/>
      <c r="J22" s="200"/>
      <c r="K22" s="1154" t="s">
        <v>442</v>
      </c>
      <c r="L22" s="1155"/>
      <c r="M22" s="1155"/>
      <c r="N22" s="1158">
        <f>'Scheme Entry - Baseline'!I7</f>
        <v>21.350369370165694</v>
      </c>
      <c r="O22" s="1159"/>
      <c r="P22" s="564"/>
      <c r="Q22" s="1052" t="s">
        <v>351</v>
      </c>
      <c r="R22" s="1052"/>
      <c r="S22" s="1052"/>
      <c r="T22" s="1052"/>
      <c r="U22" s="618">
        <v>7</v>
      </c>
      <c r="V22" s="1122">
        <f>V21*U22%</f>
        <v>416510.62500000006</v>
      </c>
      <c r="W22" s="1123"/>
      <c r="X22" s="1123"/>
      <c r="Y22" s="79"/>
    </row>
    <row r="23" spans="1:25" ht="15" customHeight="1" x14ac:dyDescent="0.3">
      <c r="A23" s="3"/>
      <c r="B23" s="710"/>
      <c r="C23" s="710"/>
      <c r="D23" s="710"/>
      <c r="E23" s="710"/>
      <c r="F23" s="710"/>
      <c r="G23" s="710"/>
      <c r="H23" s="710"/>
      <c r="I23" s="710"/>
      <c r="J23" s="708"/>
      <c r="K23" s="1156"/>
      <c r="L23" s="1157"/>
      <c r="M23" s="1157"/>
      <c r="N23" s="1160"/>
      <c r="O23" s="1161"/>
      <c r="P23" s="7"/>
      <c r="Q23" s="1052" t="s">
        <v>352</v>
      </c>
      <c r="R23" s="1052"/>
      <c r="S23" s="1052"/>
      <c r="T23" s="1052"/>
      <c r="U23" s="618">
        <v>4</v>
      </c>
      <c r="V23" s="1122">
        <f>V21*U23%</f>
        <v>238006.07142857145</v>
      </c>
      <c r="W23" s="1123"/>
      <c r="X23" s="1123"/>
      <c r="Y23" s="79"/>
    </row>
    <row r="24" spans="1:25" ht="15" customHeight="1" x14ac:dyDescent="0.3">
      <c r="A24" s="3"/>
      <c r="B24" s="7" t="s">
        <v>494</v>
      </c>
      <c r="C24" s="710"/>
      <c r="D24" s="710"/>
      <c r="E24" s="710"/>
      <c r="F24" s="710"/>
      <c r="G24" s="710"/>
      <c r="H24" s="1118">
        <v>0</v>
      </c>
      <c r="I24" s="1119"/>
      <c r="J24" s="708"/>
      <c r="K24" s="1156"/>
      <c r="L24" s="1157"/>
      <c r="M24" s="1157"/>
      <c r="N24" s="1160"/>
      <c r="O24" s="1161"/>
      <c r="P24" s="7"/>
      <c r="Q24" s="1053" t="s">
        <v>142</v>
      </c>
      <c r="R24" s="1053"/>
      <c r="S24" s="1053"/>
      <c r="T24" s="1053"/>
      <c r="U24" s="1053"/>
      <c r="V24" s="1128">
        <f>SUM(V22:V23)</f>
        <v>654516.69642857148</v>
      </c>
      <c r="W24" s="1128"/>
      <c r="X24" s="1128"/>
      <c r="Y24" s="79"/>
    </row>
    <row r="25" spans="1:25" ht="15" customHeight="1" x14ac:dyDescent="0.3">
      <c r="A25" s="3"/>
      <c r="B25" s="710"/>
      <c r="C25" s="710"/>
      <c r="D25" s="710"/>
      <c r="E25" s="710"/>
      <c r="F25" s="710"/>
      <c r="G25" s="710"/>
      <c r="H25" s="710"/>
      <c r="I25" s="710"/>
      <c r="J25" s="708"/>
      <c r="K25" s="1154" t="s">
        <v>504</v>
      </c>
      <c r="L25" s="1155"/>
      <c r="M25" s="1155"/>
      <c r="N25" s="1158">
        <f>IF(H14="Central",HLOOKUP('Scheme Entry - Baseline'!I21,'NtpM Capitalisation'!AE52:AQ53,2),IF(H14="Low",HLOOKUP('Scheme Entry - Baseline'!I21,'NtpM Capitalisation'!R52:AD53,2),IF(H14="High",HLOOKUP('Scheme Entry - Baseline'!I21,'NtpM Capitalisation'!AR52:BD53,2))))</f>
        <v>34.30573746000001</v>
      </c>
      <c r="O25" s="1159"/>
      <c r="P25" s="1053" t="s">
        <v>505</v>
      </c>
      <c r="Q25" s="1107"/>
      <c r="R25" s="1107"/>
      <c r="S25" s="1107"/>
      <c r="T25" s="1107"/>
      <c r="U25" s="617">
        <v>7.5</v>
      </c>
      <c r="V25" s="1125">
        <f>(V16+V21)*U25%</f>
        <v>448511.38392857148</v>
      </c>
      <c r="W25" s="1126"/>
      <c r="X25" s="1126"/>
      <c r="Y25" s="79"/>
    </row>
    <row r="26" spans="1:25" ht="15" customHeight="1" thickBot="1" x14ac:dyDescent="0.35">
      <c r="A26" s="3"/>
      <c r="B26" s="711" t="s">
        <v>171</v>
      </c>
      <c r="C26" s="710"/>
      <c r="D26" s="710"/>
      <c r="E26" s="710"/>
      <c r="F26" s="710"/>
      <c r="G26" s="710"/>
      <c r="H26" s="1118">
        <v>0.09</v>
      </c>
      <c r="I26" s="1119"/>
      <c r="J26" s="708"/>
      <c r="K26" s="1156"/>
      <c r="L26" s="1157"/>
      <c r="M26" s="1157"/>
      <c r="N26" s="1160"/>
      <c r="O26" s="1161"/>
      <c r="P26" s="75"/>
      <c r="Q26" s="1153" t="s">
        <v>440</v>
      </c>
      <c r="R26" s="1153"/>
      <c r="S26" s="1153"/>
      <c r="T26" s="1153"/>
      <c r="U26" s="1153"/>
      <c r="V26" s="1127">
        <f>V21+V24+V25</f>
        <v>7053179.86607143</v>
      </c>
      <c r="W26" s="1127"/>
      <c r="X26" s="1127"/>
      <c r="Y26" s="79"/>
    </row>
    <row r="27" spans="1:25" ht="15" customHeight="1" thickBot="1" x14ac:dyDescent="0.35">
      <c r="A27" s="3"/>
      <c r="B27" s="710"/>
      <c r="C27" s="710"/>
      <c r="D27" s="710"/>
      <c r="E27" s="710"/>
      <c r="F27" s="710"/>
      <c r="G27" s="710"/>
      <c r="H27" s="710"/>
      <c r="I27" s="710"/>
      <c r="J27" s="708"/>
      <c r="K27" s="1162"/>
      <c r="L27" s="1163"/>
      <c r="M27" s="1163"/>
      <c r="N27" s="1164"/>
      <c r="O27" s="1165"/>
      <c r="P27" s="3"/>
      <c r="Q27" s="3"/>
      <c r="R27" s="3"/>
      <c r="S27" s="3"/>
      <c r="T27" s="3"/>
      <c r="U27" s="3"/>
      <c r="V27" s="3"/>
      <c r="W27" s="3"/>
      <c r="X27" s="3"/>
      <c r="Y27" s="79"/>
    </row>
    <row r="28" spans="1:25" ht="15" customHeight="1" x14ac:dyDescent="0.3">
      <c r="A28" s="3"/>
      <c r="B28" s="7" t="s">
        <v>438</v>
      </c>
      <c r="C28" s="710"/>
      <c r="D28" s="710"/>
      <c r="E28" s="710"/>
      <c r="F28" s="710"/>
      <c r="G28" s="710"/>
      <c r="H28" s="1118">
        <v>25</v>
      </c>
      <c r="I28" s="1119"/>
      <c r="J28" s="708"/>
      <c r="K28" s="1156" t="s">
        <v>443</v>
      </c>
      <c r="L28" s="1157"/>
      <c r="M28" s="1157"/>
      <c r="N28" s="1160">
        <f>IF(H14="Central",HLOOKUP('Scheme Entry - Baseline'!I21,'NtpM Capitalisation'!BY52:CK53,2),IF(H14="Low",HLOOKUP('Scheme Entry - Baseline'!I21,'NtpM Capitalisation'!BL52:BX53,2),IF(H14="High",HLOOKUP('Scheme Entry - Baseline'!I21,'NtpM Capitalisation'!CM52:CY53,2))))</f>
        <v>18.798737857810014</v>
      </c>
      <c r="O28" s="1161"/>
      <c r="P28" s="712"/>
      <c r="Q28" s="1168" t="s">
        <v>69</v>
      </c>
      <c r="R28" s="1168"/>
      <c r="S28" s="1168"/>
      <c r="T28" s="1168"/>
      <c r="U28" s="1168"/>
      <c r="V28" s="1131">
        <f>H28*Q8</f>
        <v>40178.571428571428</v>
      </c>
      <c r="W28" s="1131"/>
      <c r="X28" s="1131"/>
      <c r="Y28" s="79"/>
    </row>
    <row r="29" spans="1:25" ht="15" customHeight="1" x14ac:dyDescent="0.3">
      <c r="A29" s="3"/>
      <c r="B29" s="7"/>
      <c r="C29" s="7"/>
      <c r="D29" s="7"/>
      <c r="E29" s="7"/>
      <c r="F29" s="7"/>
      <c r="G29" s="7"/>
      <c r="H29" s="7"/>
      <c r="I29" s="7"/>
      <c r="J29" s="3"/>
      <c r="K29" s="1156"/>
      <c r="L29" s="1157"/>
      <c r="M29" s="1157"/>
      <c r="N29" s="1160"/>
      <c r="O29" s="1161"/>
      <c r="P29" s="79"/>
      <c r="Q29" s="1167" t="s">
        <v>317</v>
      </c>
      <c r="R29" s="1167"/>
      <c r="S29" s="1167"/>
      <c r="T29" s="1167"/>
      <c r="U29" s="1167"/>
      <c r="V29" s="1166">
        <f>(H24*0.54*H30)/1000</f>
        <v>0</v>
      </c>
      <c r="W29" s="1166"/>
      <c r="X29" s="1166"/>
      <c r="Y29" s="79"/>
    </row>
    <row r="30" spans="1:25" ht="15" customHeight="1" x14ac:dyDescent="0.3">
      <c r="A30" s="3"/>
      <c r="B30" s="7" t="s">
        <v>318</v>
      </c>
      <c r="C30" s="7"/>
      <c r="D30" s="7"/>
      <c r="E30" s="7"/>
      <c r="F30" s="7"/>
      <c r="G30" s="7"/>
      <c r="H30" s="1105">
        <f>VLOOKUP($H$20,'Energy Sensitivy 1'!C18:J31,3,FALSE)</f>
        <v>559552.91785714286</v>
      </c>
      <c r="I30" s="1106"/>
      <c r="J30" s="3"/>
      <c r="K30" s="1162"/>
      <c r="L30" s="1163"/>
      <c r="M30" s="1163"/>
      <c r="N30" s="1164"/>
      <c r="O30" s="1165"/>
      <c r="P30" s="79"/>
      <c r="Q30" s="1167" t="s">
        <v>131</v>
      </c>
      <c r="R30" s="1167"/>
      <c r="S30" s="1167"/>
      <c r="T30" s="1167"/>
      <c r="U30" s="1167"/>
      <c r="V30" s="1166">
        <f>'Energy Sensitivy 1'!M15</f>
        <v>84595.671185562736</v>
      </c>
      <c r="W30" s="1166"/>
      <c r="X30" s="1166"/>
      <c r="Y30" s="79"/>
    </row>
    <row r="31" spans="1:25" ht="15" customHeight="1" thickBot="1" x14ac:dyDescent="0.35">
      <c r="A31" s="3"/>
      <c r="B31" s="3"/>
      <c r="C31" s="3"/>
      <c r="D31" s="3"/>
      <c r="E31" s="3"/>
      <c r="F31" s="3"/>
      <c r="G31" s="3"/>
      <c r="H31" s="3"/>
      <c r="I31" s="3"/>
      <c r="J31" s="3"/>
      <c r="K31" s="75"/>
      <c r="L31" s="75"/>
      <c r="M31" s="75"/>
      <c r="N31" s="75"/>
      <c r="O31" s="75"/>
      <c r="P31" s="75"/>
      <c r="Q31" s="1153" t="s">
        <v>441</v>
      </c>
      <c r="R31" s="1153"/>
      <c r="S31" s="1153"/>
      <c r="T31" s="1153"/>
      <c r="U31" s="1153"/>
      <c r="V31" s="1127">
        <f>SUM(V28:V30)</f>
        <v>124774.24261413416</v>
      </c>
      <c r="W31" s="1127"/>
      <c r="X31" s="1127"/>
      <c r="Y31" s="79"/>
    </row>
    <row r="32" spans="1:25" ht="15" customHeight="1" x14ac:dyDescent="0.25">
      <c r="A32" s="15"/>
      <c r="B32" s="807" t="s">
        <v>454</v>
      </c>
      <c r="C32" s="590"/>
      <c r="D32" s="590"/>
      <c r="E32" s="590"/>
      <c r="F32" s="590"/>
      <c r="G32" s="808"/>
      <c r="H32" s="1038">
        <v>6</v>
      </c>
      <c r="I32" s="1039"/>
      <c r="J32" s="15"/>
      <c r="K32" s="15"/>
      <c r="L32" s="15"/>
      <c r="M32" s="15"/>
      <c r="N32" s="15"/>
      <c r="O32" s="15"/>
      <c r="P32" s="15"/>
      <c r="Q32" s="15"/>
      <c r="R32" s="15"/>
      <c r="S32" s="15"/>
      <c r="T32" s="15"/>
      <c r="U32" s="15"/>
      <c r="V32" s="15"/>
      <c r="W32" s="15"/>
      <c r="X32" s="15"/>
      <c r="Y32" s="15"/>
    </row>
  </sheetData>
  <mergeCells count="106">
    <mergeCell ref="V31:X31"/>
    <mergeCell ref="Q31:U31"/>
    <mergeCell ref="Q26:U26"/>
    <mergeCell ref="K22:M24"/>
    <mergeCell ref="N22:O24"/>
    <mergeCell ref="K25:M27"/>
    <mergeCell ref="N25:O27"/>
    <mergeCell ref="K28:M30"/>
    <mergeCell ref="N28:O30"/>
    <mergeCell ref="V29:X29"/>
    <mergeCell ref="V30:X30"/>
    <mergeCell ref="Q30:U30"/>
    <mergeCell ref="Q29:U29"/>
    <mergeCell ref="Q28:U28"/>
    <mergeCell ref="K3:X4"/>
    <mergeCell ref="H7:I7"/>
    <mergeCell ref="H9:I9"/>
    <mergeCell ref="H11:I11"/>
    <mergeCell ref="H13:I13"/>
    <mergeCell ref="H15:I15"/>
    <mergeCell ref="H17:I17"/>
    <mergeCell ref="H19:I19"/>
    <mergeCell ref="Q7:R7"/>
    <mergeCell ref="S18:U18"/>
    <mergeCell ref="S19:U19"/>
    <mergeCell ref="V19:X19"/>
    <mergeCell ref="V18:X18"/>
    <mergeCell ref="V17:X17"/>
    <mergeCell ref="Q13:R13"/>
    <mergeCell ref="S8:U8"/>
    <mergeCell ref="S7:U7"/>
    <mergeCell ref="V10:X10"/>
    <mergeCell ref="V7:X7"/>
    <mergeCell ref="V8:X8"/>
    <mergeCell ref="S17:U17"/>
    <mergeCell ref="S12:U12"/>
    <mergeCell ref="S9:U9"/>
    <mergeCell ref="S10:U10"/>
    <mergeCell ref="S11:U11"/>
    <mergeCell ref="V16:X16"/>
    <mergeCell ref="V9:X9"/>
    <mergeCell ref="V11:X11"/>
    <mergeCell ref="V12:X12"/>
    <mergeCell ref="V13:X13"/>
    <mergeCell ref="V14:X14"/>
    <mergeCell ref="V15:X15"/>
    <mergeCell ref="S20:U20"/>
    <mergeCell ref="V20:X20"/>
    <mergeCell ref="H26:I26"/>
    <mergeCell ref="H20:I20"/>
    <mergeCell ref="H16:I16"/>
    <mergeCell ref="H22:I22"/>
    <mergeCell ref="H24:I24"/>
    <mergeCell ref="Q21:U21"/>
    <mergeCell ref="H28:I28"/>
    <mergeCell ref="V23:X23"/>
    <mergeCell ref="V22:X22"/>
    <mergeCell ref="V21:X21"/>
    <mergeCell ref="V25:X25"/>
    <mergeCell ref="V26:X26"/>
    <mergeCell ref="V24:X24"/>
    <mergeCell ref="Q20:R20"/>
    <mergeCell ref="V28:X28"/>
    <mergeCell ref="Q19:R19"/>
    <mergeCell ref="H18:I18"/>
    <mergeCell ref="Q18:R18"/>
    <mergeCell ref="Q14:R14"/>
    <mergeCell ref="Q15:R15"/>
    <mergeCell ref="Q16:R16"/>
    <mergeCell ref="Q8:R8"/>
    <mergeCell ref="K14:O14"/>
    <mergeCell ref="Q11:R11"/>
    <mergeCell ref="Q17:R17"/>
    <mergeCell ref="H14:I14"/>
    <mergeCell ref="H6:I6"/>
    <mergeCell ref="H8:I8"/>
    <mergeCell ref="H10:I10"/>
    <mergeCell ref="H12:I12"/>
    <mergeCell ref="K10:O10"/>
    <mergeCell ref="K9:O9"/>
    <mergeCell ref="K8:O8"/>
    <mergeCell ref="Q12:R12"/>
    <mergeCell ref="H32:I32"/>
    <mergeCell ref="K7:O7"/>
    <mergeCell ref="K6:X6"/>
    <mergeCell ref="K15:O15"/>
    <mergeCell ref="K16:O16"/>
    <mergeCell ref="K17:O17"/>
    <mergeCell ref="K18:O18"/>
    <mergeCell ref="K19:O19"/>
    <mergeCell ref="Q22:T22"/>
    <mergeCell ref="Q23:T23"/>
    <mergeCell ref="K11:O11"/>
    <mergeCell ref="K12:O12"/>
    <mergeCell ref="K13:O13"/>
    <mergeCell ref="S13:U13"/>
    <mergeCell ref="S14:U14"/>
    <mergeCell ref="S15:U15"/>
    <mergeCell ref="S16:U16"/>
    <mergeCell ref="Q9:R9"/>
    <mergeCell ref="Q10:R10"/>
    <mergeCell ref="H30:I30"/>
    <mergeCell ref="Q24:U24"/>
    <mergeCell ref="P25:T25"/>
    <mergeCell ref="K20:O20"/>
    <mergeCell ref="K21:O21"/>
  </mergeCells>
  <dataValidations count="8">
    <dataValidation allowBlank="1" showInputMessage="1" showErrorMessage="1" prompt="53.347901" sqref="JF65380 TB65380 ACX65380 AMT65380 AWP65380 BGL65380 BQH65380 CAD65380 CJZ65380 CTV65380 DDR65380 DNN65380 DXJ65380 EHF65380 ERB65380 FAX65380 FKT65380 FUP65380 GEL65380 GOH65380 GYD65380 HHZ65380 HRV65380 IBR65380 ILN65380 IVJ65380 JFF65380 JPB65380 JYX65380 KIT65380 KSP65380 LCL65380 LMH65380 LWD65380 MFZ65380 MPV65380 MZR65380 NJN65380 NTJ65380 ODF65380 ONB65380 OWX65380 PGT65380 PQP65380 QAL65380 QKH65380 QUD65380 RDZ65380 RNV65380 RXR65380 SHN65380 SRJ65380 TBF65380 TLB65380 TUX65380 UET65380 UOP65380 UYL65380 VIH65380 VSD65380 WBZ65380 WLV65380 WVR65380 JF130916 TB130916 ACX130916 AMT130916 AWP130916 BGL130916 BQH130916 CAD130916 CJZ130916 CTV130916 DDR130916 DNN130916 DXJ130916 EHF130916 ERB130916 FAX130916 FKT130916 FUP130916 GEL130916 GOH130916 GYD130916 HHZ130916 HRV130916 IBR130916 ILN130916 IVJ130916 JFF130916 JPB130916 JYX130916 KIT130916 KSP130916 LCL130916 LMH130916 LWD130916 MFZ130916 MPV130916 MZR130916 NJN130916 NTJ130916 ODF130916 ONB130916 OWX130916 PGT130916 PQP130916 QAL130916 QKH130916 QUD130916 RDZ130916 RNV130916 RXR130916 SHN130916 SRJ130916 TBF130916 TLB130916 TUX130916 UET130916 UOP130916 UYL130916 VIH130916 VSD130916 WBZ130916 WLV130916 WVR130916 JF196452 TB196452 ACX196452 AMT196452 AWP196452 BGL196452 BQH196452 CAD196452 CJZ196452 CTV196452 DDR196452 DNN196452 DXJ196452 EHF196452 ERB196452 FAX196452 FKT196452 FUP196452 GEL196452 GOH196452 GYD196452 HHZ196452 HRV196452 IBR196452 ILN196452 IVJ196452 JFF196452 JPB196452 JYX196452 KIT196452 KSP196452 LCL196452 LMH196452 LWD196452 MFZ196452 MPV196452 MZR196452 NJN196452 NTJ196452 ODF196452 ONB196452 OWX196452 PGT196452 PQP196452 QAL196452 QKH196452 QUD196452 RDZ196452 RNV196452 RXR196452 SHN196452 SRJ196452 TBF196452 TLB196452 TUX196452 UET196452 UOP196452 UYL196452 VIH196452 VSD196452 WBZ196452 WLV196452 WVR196452 JF261988 TB261988 ACX261988 AMT261988 AWP261988 BGL261988 BQH261988 CAD261988 CJZ261988 CTV261988 DDR261988 DNN261988 DXJ261988 EHF261988 ERB261988 FAX261988 FKT261988 FUP261988 GEL261988 GOH261988 GYD261988 HHZ261988 HRV261988 IBR261988 ILN261988 IVJ261988 JFF261988 JPB261988 JYX261988 KIT261988 KSP261988 LCL261988 LMH261988 LWD261988 MFZ261988 MPV261988 MZR261988 NJN261988 NTJ261988 ODF261988 ONB261988 OWX261988 PGT261988 PQP261988 QAL261988 QKH261988 QUD261988 RDZ261988 RNV261988 RXR261988 SHN261988 SRJ261988 TBF261988 TLB261988 TUX261988 UET261988 UOP261988 UYL261988 VIH261988 VSD261988 WBZ261988 WLV261988 WVR261988 JF327524 TB327524 ACX327524 AMT327524 AWP327524 BGL327524 BQH327524 CAD327524 CJZ327524 CTV327524 DDR327524 DNN327524 DXJ327524 EHF327524 ERB327524 FAX327524 FKT327524 FUP327524 GEL327524 GOH327524 GYD327524 HHZ327524 HRV327524 IBR327524 ILN327524 IVJ327524 JFF327524 JPB327524 JYX327524 KIT327524 KSP327524 LCL327524 LMH327524 LWD327524 MFZ327524 MPV327524 MZR327524 NJN327524 NTJ327524 ODF327524 ONB327524 OWX327524 PGT327524 PQP327524 QAL327524 QKH327524 QUD327524 RDZ327524 RNV327524 RXR327524 SHN327524 SRJ327524 TBF327524 TLB327524 TUX327524 UET327524 UOP327524 UYL327524 VIH327524 VSD327524 WBZ327524 WLV327524 WVR327524 JF393060 TB393060 ACX393060 AMT393060 AWP393060 BGL393060 BQH393060 CAD393060 CJZ393060 CTV393060 DDR393060 DNN393060 DXJ393060 EHF393060 ERB393060 FAX393060 FKT393060 FUP393060 GEL393060 GOH393060 GYD393060 HHZ393060 HRV393060 IBR393060 ILN393060 IVJ393060 JFF393060 JPB393060 JYX393060 KIT393060 KSP393060 LCL393060 LMH393060 LWD393060 MFZ393060 MPV393060 MZR393060 NJN393060 NTJ393060 ODF393060 ONB393060 OWX393060 PGT393060 PQP393060 QAL393060 QKH393060 QUD393060 RDZ393060 RNV393060 RXR393060 SHN393060 SRJ393060 TBF393060 TLB393060 TUX393060 UET393060 UOP393060 UYL393060 VIH393060 VSD393060 WBZ393060 WLV393060 WVR393060 JF458596 TB458596 ACX458596 AMT458596 AWP458596 BGL458596 BQH458596 CAD458596 CJZ458596 CTV458596 DDR458596 DNN458596 DXJ458596 EHF458596 ERB458596 FAX458596 FKT458596 FUP458596 GEL458596 GOH458596 GYD458596 HHZ458596 HRV458596 IBR458596 ILN458596 IVJ458596 JFF458596 JPB458596 JYX458596 KIT458596 KSP458596 LCL458596 LMH458596 LWD458596 MFZ458596 MPV458596 MZR458596 NJN458596 NTJ458596 ODF458596 ONB458596 OWX458596 PGT458596 PQP458596 QAL458596 QKH458596 QUD458596 RDZ458596 RNV458596 RXR458596 SHN458596 SRJ458596 TBF458596 TLB458596 TUX458596 UET458596 UOP458596 UYL458596 VIH458596 VSD458596 WBZ458596 WLV458596 WVR458596 JF524132 TB524132 ACX524132 AMT524132 AWP524132 BGL524132 BQH524132 CAD524132 CJZ524132 CTV524132 DDR524132 DNN524132 DXJ524132 EHF524132 ERB524132 FAX524132 FKT524132 FUP524132 GEL524132 GOH524132 GYD524132 HHZ524132 HRV524132 IBR524132 ILN524132 IVJ524132 JFF524132 JPB524132 JYX524132 KIT524132 KSP524132 LCL524132 LMH524132 LWD524132 MFZ524132 MPV524132 MZR524132 NJN524132 NTJ524132 ODF524132 ONB524132 OWX524132 PGT524132 PQP524132 QAL524132 QKH524132 QUD524132 RDZ524132 RNV524132 RXR524132 SHN524132 SRJ524132 TBF524132 TLB524132 TUX524132 UET524132 UOP524132 UYL524132 VIH524132 VSD524132 WBZ524132 WLV524132 WVR524132 JF589668 TB589668 ACX589668 AMT589668 AWP589668 BGL589668 BQH589668 CAD589668 CJZ589668 CTV589668 DDR589668 DNN589668 DXJ589668 EHF589668 ERB589668 FAX589668 FKT589668 FUP589668 GEL589668 GOH589668 GYD589668 HHZ589668 HRV589668 IBR589668 ILN589668 IVJ589668 JFF589668 JPB589668 JYX589668 KIT589668 KSP589668 LCL589668 LMH589668 LWD589668 MFZ589668 MPV589668 MZR589668 NJN589668 NTJ589668 ODF589668 ONB589668 OWX589668 PGT589668 PQP589668 QAL589668 QKH589668 QUD589668 RDZ589668 RNV589668 RXR589668 SHN589668 SRJ589668 TBF589668 TLB589668 TUX589668 UET589668 UOP589668 UYL589668 VIH589668 VSD589668 WBZ589668 WLV589668 WVR589668 JF655204 TB655204 ACX655204 AMT655204 AWP655204 BGL655204 BQH655204 CAD655204 CJZ655204 CTV655204 DDR655204 DNN655204 DXJ655204 EHF655204 ERB655204 FAX655204 FKT655204 FUP655204 GEL655204 GOH655204 GYD655204 HHZ655204 HRV655204 IBR655204 ILN655204 IVJ655204 JFF655204 JPB655204 JYX655204 KIT655204 KSP655204 LCL655204 LMH655204 LWD655204 MFZ655204 MPV655204 MZR655204 NJN655204 NTJ655204 ODF655204 ONB655204 OWX655204 PGT655204 PQP655204 QAL655204 QKH655204 QUD655204 RDZ655204 RNV655204 RXR655204 SHN655204 SRJ655204 TBF655204 TLB655204 TUX655204 UET655204 UOP655204 UYL655204 VIH655204 VSD655204 WBZ655204 WLV655204 WVR655204 JF720740 TB720740 ACX720740 AMT720740 AWP720740 BGL720740 BQH720740 CAD720740 CJZ720740 CTV720740 DDR720740 DNN720740 DXJ720740 EHF720740 ERB720740 FAX720740 FKT720740 FUP720740 GEL720740 GOH720740 GYD720740 HHZ720740 HRV720740 IBR720740 ILN720740 IVJ720740 JFF720740 JPB720740 JYX720740 KIT720740 KSP720740 LCL720740 LMH720740 LWD720740 MFZ720740 MPV720740 MZR720740 NJN720740 NTJ720740 ODF720740 ONB720740 OWX720740 PGT720740 PQP720740 QAL720740 QKH720740 QUD720740 RDZ720740 RNV720740 RXR720740 SHN720740 SRJ720740 TBF720740 TLB720740 TUX720740 UET720740 UOP720740 UYL720740 VIH720740 VSD720740 WBZ720740 WLV720740 WVR720740 JF786276 TB786276 ACX786276 AMT786276 AWP786276 BGL786276 BQH786276 CAD786276 CJZ786276 CTV786276 DDR786276 DNN786276 DXJ786276 EHF786276 ERB786276 FAX786276 FKT786276 FUP786276 GEL786276 GOH786276 GYD786276 HHZ786276 HRV786276 IBR786276 ILN786276 IVJ786276 JFF786276 JPB786276 JYX786276 KIT786276 KSP786276 LCL786276 LMH786276 LWD786276 MFZ786276 MPV786276 MZR786276 NJN786276 NTJ786276 ODF786276 ONB786276 OWX786276 PGT786276 PQP786276 QAL786276 QKH786276 QUD786276 RDZ786276 RNV786276 RXR786276 SHN786276 SRJ786276 TBF786276 TLB786276 TUX786276 UET786276 UOP786276 UYL786276 VIH786276 VSD786276 WBZ786276 WLV786276 WVR786276 JF851812 TB851812 ACX851812 AMT851812 AWP851812 BGL851812 BQH851812 CAD851812 CJZ851812 CTV851812 DDR851812 DNN851812 DXJ851812 EHF851812 ERB851812 FAX851812 FKT851812 FUP851812 GEL851812 GOH851812 GYD851812 HHZ851812 HRV851812 IBR851812 ILN851812 IVJ851812 JFF851812 JPB851812 JYX851812 KIT851812 KSP851812 LCL851812 LMH851812 LWD851812 MFZ851812 MPV851812 MZR851812 NJN851812 NTJ851812 ODF851812 ONB851812 OWX851812 PGT851812 PQP851812 QAL851812 QKH851812 QUD851812 RDZ851812 RNV851812 RXR851812 SHN851812 SRJ851812 TBF851812 TLB851812 TUX851812 UET851812 UOP851812 UYL851812 VIH851812 VSD851812 WBZ851812 WLV851812 WVR851812 JF917348 TB917348 ACX917348 AMT917348 AWP917348 BGL917348 BQH917348 CAD917348 CJZ917348 CTV917348 DDR917348 DNN917348 DXJ917348 EHF917348 ERB917348 FAX917348 FKT917348 FUP917348 GEL917348 GOH917348 GYD917348 HHZ917348 HRV917348 IBR917348 ILN917348 IVJ917348 JFF917348 JPB917348 JYX917348 KIT917348 KSP917348 LCL917348 LMH917348 LWD917348 MFZ917348 MPV917348 MZR917348 NJN917348 NTJ917348 ODF917348 ONB917348 OWX917348 PGT917348 PQP917348 QAL917348 QKH917348 QUD917348 RDZ917348 RNV917348 RXR917348 SHN917348 SRJ917348 TBF917348 TLB917348 TUX917348 UET917348 UOP917348 UYL917348 VIH917348 VSD917348 WBZ917348 WLV917348 WVR917348 JF982884 TB982884 ACX982884 AMT982884 AWP982884 BGL982884 BQH982884 CAD982884 CJZ982884 CTV982884 DDR982884 DNN982884 DXJ982884 EHF982884 ERB982884 FAX982884 FKT982884 FUP982884 GEL982884 GOH982884 GYD982884 HHZ982884 HRV982884 IBR982884 ILN982884 IVJ982884 JFF982884 JPB982884 JYX982884 KIT982884 KSP982884 LCL982884 LMH982884 LWD982884 MFZ982884 MPV982884 MZR982884 NJN982884 NTJ982884 ODF982884 ONB982884 OWX982884 PGT982884 PQP982884 QAL982884 QKH982884 QUD982884 RDZ982884 RNV982884 RXR982884 SHN982884 SRJ982884 TBF982884 TLB982884 TUX982884 UET982884 UOP982884 UYL982884 VIH982884 VSD982884 WBZ982884 WLV982884 WVR982884"/>
    <dataValidation allowBlank="1" showInputMessage="1" showErrorMessage="1" prompt="-6.294484" sqref="JH65380 TD65380 ACZ65380 AMV65380 AWR65380 BGN65380 BQJ65380 CAF65380 CKB65380 CTX65380 DDT65380 DNP65380 DXL65380 EHH65380 ERD65380 FAZ65380 FKV65380 FUR65380 GEN65380 GOJ65380 GYF65380 HIB65380 HRX65380 IBT65380 ILP65380 IVL65380 JFH65380 JPD65380 JYZ65380 KIV65380 KSR65380 LCN65380 LMJ65380 LWF65380 MGB65380 MPX65380 MZT65380 NJP65380 NTL65380 ODH65380 OND65380 OWZ65380 PGV65380 PQR65380 QAN65380 QKJ65380 QUF65380 REB65380 RNX65380 RXT65380 SHP65380 SRL65380 TBH65380 TLD65380 TUZ65380 UEV65380 UOR65380 UYN65380 VIJ65380 VSF65380 WCB65380 WLX65380 WVT65380 JH130916 TD130916 ACZ130916 AMV130916 AWR130916 BGN130916 BQJ130916 CAF130916 CKB130916 CTX130916 DDT130916 DNP130916 DXL130916 EHH130916 ERD130916 FAZ130916 FKV130916 FUR130916 GEN130916 GOJ130916 GYF130916 HIB130916 HRX130916 IBT130916 ILP130916 IVL130916 JFH130916 JPD130916 JYZ130916 KIV130916 KSR130916 LCN130916 LMJ130916 LWF130916 MGB130916 MPX130916 MZT130916 NJP130916 NTL130916 ODH130916 OND130916 OWZ130916 PGV130916 PQR130916 QAN130916 QKJ130916 QUF130916 REB130916 RNX130916 RXT130916 SHP130916 SRL130916 TBH130916 TLD130916 TUZ130916 UEV130916 UOR130916 UYN130916 VIJ130916 VSF130916 WCB130916 WLX130916 WVT130916 JH196452 TD196452 ACZ196452 AMV196452 AWR196452 BGN196452 BQJ196452 CAF196452 CKB196452 CTX196452 DDT196452 DNP196452 DXL196452 EHH196452 ERD196452 FAZ196452 FKV196452 FUR196452 GEN196452 GOJ196452 GYF196452 HIB196452 HRX196452 IBT196452 ILP196452 IVL196452 JFH196452 JPD196452 JYZ196452 KIV196452 KSR196452 LCN196452 LMJ196452 LWF196452 MGB196452 MPX196452 MZT196452 NJP196452 NTL196452 ODH196452 OND196452 OWZ196452 PGV196452 PQR196452 QAN196452 QKJ196452 QUF196452 REB196452 RNX196452 RXT196452 SHP196452 SRL196452 TBH196452 TLD196452 TUZ196452 UEV196452 UOR196452 UYN196452 VIJ196452 VSF196452 WCB196452 WLX196452 WVT196452 JH261988 TD261988 ACZ261988 AMV261988 AWR261988 BGN261988 BQJ261988 CAF261988 CKB261988 CTX261988 DDT261988 DNP261988 DXL261988 EHH261988 ERD261988 FAZ261988 FKV261988 FUR261988 GEN261988 GOJ261988 GYF261988 HIB261988 HRX261988 IBT261988 ILP261988 IVL261988 JFH261988 JPD261988 JYZ261988 KIV261988 KSR261988 LCN261988 LMJ261988 LWF261988 MGB261988 MPX261988 MZT261988 NJP261988 NTL261988 ODH261988 OND261988 OWZ261988 PGV261988 PQR261988 QAN261988 QKJ261988 QUF261988 REB261988 RNX261988 RXT261988 SHP261988 SRL261988 TBH261988 TLD261988 TUZ261988 UEV261988 UOR261988 UYN261988 VIJ261988 VSF261988 WCB261988 WLX261988 WVT261988 JH327524 TD327524 ACZ327524 AMV327524 AWR327524 BGN327524 BQJ327524 CAF327524 CKB327524 CTX327524 DDT327524 DNP327524 DXL327524 EHH327524 ERD327524 FAZ327524 FKV327524 FUR327524 GEN327524 GOJ327524 GYF327524 HIB327524 HRX327524 IBT327524 ILP327524 IVL327524 JFH327524 JPD327524 JYZ327524 KIV327524 KSR327524 LCN327524 LMJ327524 LWF327524 MGB327524 MPX327524 MZT327524 NJP327524 NTL327524 ODH327524 OND327524 OWZ327524 PGV327524 PQR327524 QAN327524 QKJ327524 QUF327524 REB327524 RNX327524 RXT327524 SHP327524 SRL327524 TBH327524 TLD327524 TUZ327524 UEV327524 UOR327524 UYN327524 VIJ327524 VSF327524 WCB327524 WLX327524 WVT327524 JH393060 TD393060 ACZ393060 AMV393060 AWR393060 BGN393060 BQJ393060 CAF393060 CKB393060 CTX393060 DDT393060 DNP393060 DXL393060 EHH393060 ERD393060 FAZ393060 FKV393060 FUR393060 GEN393060 GOJ393060 GYF393060 HIB393060 HRX393060 IBT393060 ILP393060 IVL393060 JFH393060 JPD393060 JYZ393060 KIV393060 KSR393060 LCN393060 LMJ393060 LWF393060 MGB393060 MPX393060 MZT393060 NJP393060 NTL393060 ODH393060 OND393060 OWZ393060 PGV393060 PQR393060 QAN393060 QKJ393060 QUF393060 REB393060 RNX393060 RXT393060 SHP393060 SRL393060 TBH393060 TLD393060 TUZ393060 UEV393060 UOR393060 UYN393060 VIJ393060 VSF393060 WCB393060 WLX393060 WVT393060 JH458596 TD458596 ACZ458596 AMV458596 AWR458596 BGN458596 BQJ458596 CAF458596 CKB458596 CTX458596 DDT458596 DNP458596 DXL458596 EHH458596 ERD458596 FAZ458596 FKV458596 FUR458596 GEN458596 GOJ458596 GYF458596 HIB458596 HRX458596 IBT458596 ILP458596 IVL458596 JFH458596 JPD458596 JYZ458596 KIV458596 KSR458596 LCN458596 LMJ458596 LWF458596 MGB458596 MPX458596 MZT458596 NJP458596 NTL458596 ODH458596 OND458596 OWZ458596 PGV458596 PQR458596 QAN458596 QKJ458596 QUF458596 REB458596 RNX458596 RXT458596 SHP458596 SRL458596 TBH458596 TLD458596 TUZ458596 UEV458596 UOR458596 UYN458596 VIJ458596 VSF458596 WCB458596 WLX458596 WVT458596 JH524132 TD524132 ACZ524132 AMV524132 AWR524132 BGN524132 BQJ524132 CAF524132 CKB524132 CTX524132 DDT524132 DNP524132 DXL524132 EHH524132 ERD524132 FAZ524132 FKV524132 FUR524132 GEN524132 GOJ524132 GYF524132 HIB524132 HRX524132 IBT524132 ILP524132 IVL524132 JFH524132 JPD524132 JYZ524132 KIV524132 KSR524132 LCN524132 LMJ524132 LWF524132 MGB524132 MPX524132 MZT524132 NJP524132 NTL524132 ODH524132 OND524132 OWZ524132 PGV524132 PQR524132 QAN524132 QKJ524132 QUF524132 REB524132 RNX524132 RXT524132 SHP524132 SRL524132 TBH524132 TLD524132 TUZ524132 UEV524132 UOR524132 UYN524132 VIJ524132 VSF524132 WCB524132 WLX524132 WVT524132 JH589668 TD589668 ACZ589668 AMV589668 AWR589668 BGN589668 BQJ589668 CAF589668 CKB589668 CTX589668 DDT589668 DNP589668 DXL589668 EHH589668 ERD589668 FAZ589668 FKV589668 FUR589668 GEN589668 GOJ589668 GYF589668 HIB589668 HRX589668 IBT589668 ILP589668 IVL589668 JFH589668 JPD589668 JYZ589668 KIV589668 KSR589668 LCN589668 LMJ589668 LWF589668 MGB589668 MPX589668 MZT589668 NJP589668 NTL589668 ODH589668 OND589668 OWZ589668 PGV589668 PQR589668 QAN589668 QKJ589668 QUF589668 REB589668 RNX589668 RXT589668 SHP589668 SRL589668 TBH589668 TLD589668 TUZ589668 UEV589668 UOR589668 UYN589668 VIJ589668 VSF589668 WCB589668 WLX589668 WVT589668 JH655204 TD655204 ACZ655204 AMV655204 AWR655204 BGN655204 BQJ655204 CAF655204 CKB655204 CTX655204 DDT655204 DNP655204 DXL655204 EHH655204 ERD655204 FAZ655204 FKV655204 FUR655204 GEN655204 GOJ655204 GYF655204 HIB655204 HRX655204 IBT655204 ILP655204 IVL655204 JFH655204 JPD655204 JYZ655204 KIV655204 KSR655204 LCN655204 LMJ655204 LWF655204 MGB655204 MPX655204 MZT655204 NJP655204 NTL655204 ODH655204 OND655204 OWZ655204 PGV655204 PQR655204 QAN655204 QKJ655204 QUF655204 REB655204 RNX655204 RXT655204 SHP655204 SRL655204 TBH655204 TLD655204 TUZ655204 UEV655204 UOR655204 UYN655204 VIJ655204 VSF655204 WCB655204 WLX655204 WVT655204 JH720740 TD720740 ACZ720740 AMV720740 AWR720740 BGN720740 BQJ720740 CAF720740 CKB720740 CTX720740 DDT720740 DNP720740 DXL720740 EHH720740 ERD720740 FAZ720740 FKV720740 FUR720740 GEN720740 GOJ720740 GYF720740 HIB720740 HRX720740 IBT720740 ILP720740 IVL720740 JFH720740 JPD720740 JYZ720740 KIV720740 KSR720740 LCN720740 LMJ720740 LWF720740 MGB720740 MPX720740 MZT720740 NJP720740 NTL720740 ODH720740 OND720740 OWZ720740 PGV720740 PQR720740 QAN720740 QKJ720740 QUF720740 REB720740 RNX720740 RXT720740 SHP720740 SRL720740 TBH720740 TLD720740 TUZ720740 UEV720740 UOR720740 UYN720740 VIJ720740 VSF720740 WCB720740 WLX720740 WVT720740 JH786276 TD786276 ACZ786276 AMV786276 AWR786276 BGN786276 BQJ786276 CAF786276 CKB786276 CTX786276 DDT786276 DNP786276 DXL786276 EHH786276 ERD786276 FAZ786276 FKV786276 FUR786276 GEN786276 GOJ786276 GYF786276 HIB786276 HRX786276 IBT786276 ILP786276 IVL786276 JFH786276 JPD786276 JYZ786276 KIV786276 KSR786276 LCN786276 LMJ786276 LWF786276 MGB786276 MPX786276 MZT786276 NJP786276 NTL786276 ODH786276 OND786276 OWZ786276 PGV786276 PQR786276 QAN786276 QKJ786276 QUF786276 REB786276 RNX786276 RXT786276 SHP786276 SRL786276 TBH786276 TLD786276 TUZ786276 UEV786276 UOR786276 UYN786276 VIJ786276 VSF786276 WCB786276 WLX786276 WVT786276 JH851812 TD851812 ACZ851812 AMV851812 AWR851812 BGN851812 BQJ851812 CAF851812 CKB851812 CTX851812 DDT851812 DNP851812 DXL851812 EHH851812 ERD851812 FAZ851812 FKV851812 FUR851812 GEN851812 GOJ851812 GYF851812 HIB851812 HRX851812 IBT851812 ILP851812 IVL851812 JFH851812 JPD851812 JYZ851812 KIV851812 KSR851812 LCN851812 LMJ851812 LWF851812 MGB851812 MPX851812 MZT851812 NJP851812 NTL851812 ODH851812 OND851812 OWZ851812 PGV851812 PQR851812 QAN851812 QKJ851812 QUF851812 REB851812 RNX851812 RXT851812 SHP851812 SRL851812 TBH851812 TLD851812 TUZ851812 UEV851812 UOR851812 UYN851812 VIJ851812 VSF851812 WCB851812 WLX851812 WVT851812 JH917348 TD917348 ACZ917348 AMV917348 AWR917348 BGN917348 BQJ917348 CAF917348 CKB917348 CTX917348 DDT917348 DNP917348 DXL917348 EHH917348 ERD917348 FAZ917348 FKV917348 FUR917348 GEN917348 GOJ917348 GYF917348 HIB917348 HRX917348 IBT917348 ILP917348 IVL917348 JFH917348 JPD917348 JYZ917348 KIV917348 KSR917348 LCN917348 LMJ917348 LWF917348 MGB917348 MPX917348 MZT917348 NJP917348 NTL917348 ODH917348 OND917348 OWZ917348 PGV917348 PQR917348 QAN917348 QKJ917348 QUF917348 REB917348 RNX917348 RXT917348 SHP917348 SRL917348 TBH917348 TLD917348 TUZ917348 UEV917348 UOR917348 UYN917348 VIJ917348 VSF917348 WCB917348 WLX917348 WVT917348 JH982884 TD982884 ACZ982884 AMV982884 AWR982884 BGN982884 BQJ982884 CAF982884 CKB982884 CTX982884 DDT982884 DNP982884 DXL982884 EHH982884 ERD982884 FAZ982884 FKV982884 FUR982884 GEN982884 GOJ982884 GYF982884 HIB982884 HRX982884 IBT982884 ILP982884 IVL982884 JFH982884 JPD982884 JYZ982884 KIV982884 KSR982884 LCN982884 LMJ982884 LWF982884 MGB982884 MPX982884 MZT982884 NJP982884 NTL982884 ODH982884 OND982884 OWZ982884 PGV982884 PQR982884 QAN982884 QKJ982884 QUF982884 REB982884 RNX982884 RXT982884 SHP982884 SRL982884 TBH982884 TLD982884 TUZ982884 UEV982884 UOR982884 UYN982884 VIJ982884 VSF982884 WCB982884 WLX982884 WVT982884"/>
    <dataValidation allowBlank="1" showInputMessage="1" showErrorMessage="1" prompt="53° 20' 52.4436''" sqref="JF65384 TB65384 ACX65384 AMT65384 AWP65384 BGL65384 BQH65384 CAD65384 CJZ65384 CTV65384 DDR65384 DNN65384 DXJ65384 EHF65384 ERB65384 FAX65384 FKT65384 FUP65384 GEL65384 GOH65384 GYD65384 HHZ65384 HRV65384 IBR65384 ILN65384 IVJ65384 JFF65384 JPB65384 JYX65384 KIT65384 KSP65384 LCL65384 LMH65384 LWD65384 MFZ65384 MPV65384 MZR65384 NJN65384 NTJ65384 ODF65384 ONB65384 OWX65384 PGT65384 PQP65384 QAL65384 QKH65384 QUD65384 RDZ65384 RNV65384 RXR65384 SHN65384 SRJ65384 TBF65384 TLB65384 TUX65384 UET65384 UOP65384 UYL65384 VIH65384 VSD65384 WBZ65384 WLV65384 WVR65384 JF130920 TB130920 ACX130920 AMT130920 AWP130920 BGL130920 BQH130920 CAD130920 CJZ130920 CTV130920 DDR130920 DNN130920 DXJ130920 EHF130920 ERB130920 FAX130920 FKT130920 FUP130920 GEL130920 GOH130920 GYD130920 HHZ130920 HRV130920 IBR130920 ILN130920 IVJ130920 JFF130920 JPB130920 JYX130920 KIT130920 KSP130920 LCL130920 LMH130920 LWD130920 MFZ130920 MPV130920 MZR130920 NJN130920 NTJ130920 ODF130920 ONB130920 OWX130920 PGT130920 PQP130920 QAL130920 QKH130920 QUD130920 RDZ130920 RNV130920 RXR130920 SHN130920 SRJ130920 TBF130920 TLB130920 TUX130920 UET130920 UOP130920 UYL130920 VIH130920 VSD130920 WBZ130920 WLV130920 WVR130920 JF196456 TB196456 ACX196456 AMT196456 AWP196456 BGL196456 BQH196456 CAD196456 CJZ196456 CTV196456 DDR196456 DNN196456 DXJ196456 EHF196456 ERB196456 FAX196456 FKT196456 FUP196456 GEL196456 GOH196456 GYD196456 HHZ196456 HRV196456 IBR196456 ILN196456 IVJ196456 JFF196456 JPB196456 JYX196456 KIT196456 KSP196456 LCL196456 LMH196456 LWD196456 MFZ196456 MPV196456 MZR196456 NJN196456 NTJ196456 ODF196456 ONB196456 OWX196456 PGT196456 PQP196456 QAL196456 QKH196456 QUD196456 RDZ196456 RNV196456 RXR196456 SHN196456 SRJ196456 TBF196456 TLB196456 TUX196456 UET196456 UOP196456 UYL196456 VIH196456 VSD196456 WBZ196456 WLV196456 WVR196456 JF261992 TB261992 ACX261992 AMT261992 AWP261992 BGL261992 BQH261992 CAD261992 CJZ261992 CTV261992 DDR261992 DNN261992 DXJ261992 EHF261992 ERB261992 FAX261992 FKT261992 FUP261992 GEL261992 GOH261992 GYD261992 HHZ261992 HRV261992 IBR261992 ILN261992 IVJ261992 JFF261992 JPB261992 JYX261992 KIT261992 KSP261992 LCL261992 LMH261992 LWD261992 MFZ261992 MPV261992 MZR261992 NJN261992 NTJ261992 ODF261992 ONB261992 OWX261992 PGT261992 PQP261992 QAL261992 QKH261992 QUD261992 RDZ261992 RNV261992 RXR261992 SHN261992 SRJ261992 TBF261992 TLB261992 TUX261992 UET261992 UOP261992 UYL261992 VIH261992 VSD261992 WBZ261992 WLV261992 WVR261992 JF327528 TB327528 ACX327528 AMT327528 AWP327528 BGL327528 BQH327528 CAD327528 CJZ327528 CTV327528 DDR327528 DNN327528 DXJ327528 EHF327528 ERB327528 FAX327528 FKT327528 FUP327528 GEL327528 GOH327528 GYD327528 HHZ327528 HRV327528 IBR327528 ILN327528 IVJ327528 JFF327528 JPB327528 JYX327528 KIT327528 KSP327528 LCL327528 LMH327528 LWD327528 MFZ327528 MPV327528 MZR327528 NJN327528 NTJ327528 ODF327528 ONB327528 OWX327528 PGT327528 PQP327528 QAL327528 QKH327528 QUD327528 RDZ327528 RNV327528 RXR327528 SHN327528 SRJ327528 TBF327528 TLB327528 TUX327528 UET327528 UOP327528 UYL327528 VIH327528 VSD327528 WBZ327528 WLV327528 WVR327528 JF393064 TB393064 ACX393064 AMT393064 AWP393064 BGL393064 BQH393064 CAD393064 CJZ393064 CTV393064 DDR393064 DNN393064 DXJ393064 EHF393064 ERB393064 FAX393064 FKT393064 FUP393064 GEL393064 GOH393064 GYD393064 HHZ393064 HRV393064 IBR393064 ILN393064 IVJ393064 JFF393064 JPB393064 JYX393064 KIT393064 KSP393064 LCL393064 LMH393064 LWD393064 MFZ393064 MPV393064 MZR393064 NJN393064 NTJ393064 ODF393064 ONB393064 OWX393064 PGT393064 PQP393064 QAL393064 QKH393064 QUD393064 RDZ393064 RNV393064 RXR393064 SHN393064 SRJ393064 TBF393064 TLB393064 TUX393064 UET393064 UOP393064 UYL393064 VIH393064 VSD393064 WBZ393064 WLV393064 WVR393064 JF458600 TB458600 ACX458600 AMT458600 AWP458600 BGL458600 BQH458600 CAD458600 CJZ458600 CTV458600 DDR458600 DNN458600 DXJ458600 EHF458600 ERB458600 FAX458600 FKT458600 FUP458600 GEL458600 GOH458600 GYD458600 HHZ458600 HRV458600 IBR458600 ILN458600 IVJ458600 JFF458600 JPB458600 JYX458600 KIT458600 KSP458600 LCL458600 LMH458600 LWD458600 MFZ458600 MPV458600 MZR458600 NJN458600 NTJ458600 ODF458600 ONB458600 OWX458600 PGT458600 PQP458600 QAL458600 QKH458600 QUD458600 RDZ458600 RNV458600 RXR458600 SHN458600 SRJ458600 TBF458600 TLB458600 TUX458600 UET458600 UOP458600 UYL458600 VIH458600 VSD458600 WBZ458600 WLV458600 WVR458600 JF524136 TB524136 ACX524136 AMT524136 AWP524136 BGL524136 BQH524136 CAD524136 CJZ524136 CTV524136 DDR524136 DNN524136 DXJ524136 EHF524136 ERB524136 FAX524136 FKT524136 FUP524136 GEL524136 GOH524136 GYD524136 HHZ524136 HRV524136 IBR524136 ILN524136 IVJ524136 JFF524136 JPB524136 JYX524136 KIT524136 KSP524136 LCL524136 LMH524136 LWD524136 MFZ524136 MPV524136 MZR524136 NJN524136 NTJ524136 ODF524136 ONB524136 OWX524136 PGT524136 PQP524136 QAL524136 QKH524136 QUD524136 RDZ524136 RNV524136 RXR524136 SHN524136 SRJ524136 TBF524136 TLB524136 TUX524136 UET524136 UOP524136 UYL524136 VIH524136 VSD524136 WBZ524136 WLV524136 WVR524136 JF589672 TB589672 ACX589672 AMT589672 AWP589672 BGL589672 BQH589672 CAD589672 CJZ589672 CTV589672 DDR589672 DNN589672 DXJ589672 EHF589672 ERB589672 FAX589672 FKT589672 FUP589672 GEL589672 GOH589672 GYD589672 HHZ589672 HRV589672 IBR589672 ILN589672 IVJ589672 JFF589672 JPB589672 JYX589672 KIT589672 KSP589672 LCL589672 LMH589672 LWD589672 MFZ589672 MPV589672 MZR589672 NJN589672 NTJ589672 ODF589672 ONB589672 OWX589672 PGT589672 PQP589672 QAL589672 QKH589672 QUD589672 RDZ589672 RNV589672 RXR589672 SHN589672 SRJ589672 TBF589672 TLB589672 TUX589672 UET589672 UOP589672 UYL589672 VIH589672 VSD589672 WBZ589672 WLV589672 WVR589672 JF655208 TB655208 ACX655208 AMT655208 AWP655208 BGL655208 BQH655208 CAD655208 CJZ655208 CTV655208 DDR655208 DNN655208 DXJ655208 EHF655208 ERB655208 FAX655208 FKT655208 FUP655208 GEL655208 GOH655208 GYD655208 HHZ655208 HRV655208 IBR655208 ILN655208 IVJ655208 JFF655208 JPB655208 JYX655208 KIT655208 KSP655208 LCL655208 LMH655208 LWD655208 MFZ655208 MPV655208 MZR655208 NJN655208 NTJ655208 ODF655208 ONB655208 OWX655208 PGT655208 PQP655208 QAL655208 QKH655208 QUD655208 RDZ655208 RNV655208 RXR655208 SHN655208 SRJ655208 TBF655208 TLB655208 TUX655208 UET655208 UOP655208 UYL655208 VIH655208 VSD655208 WBZ655208 WLV655208 WVR655208 JF720744 TB720744 ACX720744 AMT720744 AWP720744 BGL720744 BQH720744 CAD720744 CJZ720744 CTV720744 DDR720744 DNN720744 DXJ720744 EHF720744 ERB720744 FAX720744 FKT720744 FUP720744 GEL720744 GOH720744 GYD720744 HHZ720744 HRV720744 IBR720744 ILN720744 IVJ720744 JFF720744 JPB720744 JYX720744 KIT720744 KSP720744 LCL720744 LMH720744 LWD720744 MFZ720744 MPV720744 MZR720744 NJN720744 NTJ720744 ODF720744 ONB720744 OWX720744 PGT720744 PQP720744 QAL720744 QKH720744 QUD720744 RDZ720744 RNV720744 RXR720744 SHN720744 SRJ720744 TBF720744 TLB720744 TUX720744 UET720744 UOP720744 UYL720744 VIH720744 VSD720744 WBZ720744 WLV720744 WVR720744 JF786280 TB786280 ACX786280 AMT786280 AWP786280 BGL786280 BQH786280 CAD786280 CJZ786280 CTV786280 DDR786280 DNN786280 DXJ786280 EHF786280 ERB786280 FAX786280 FKT786280 FUP786280 GEL786280 GOH786280 GYD786280 HHZ786280 HRV786280 IBR786280 ILN786280 IVJ786280 JFF786280 JPB786280 JYX786280 KIT786280 KSP786280 LCL786280 LMH786280 LWD786280 MFZ786280 MPV786280 MZR786280 NJN786280 NTJ786280 ODF786280 ONB786280 OWX786280 PGT786280 PQP786280 QAL786280 QKH786280 QUD786280 RDZ786280 RNV786280 RXR786280 SHN786280 SRJ786280 TBF786280 TLB786280 TUX786280 UET786280 UOP786280 UYL786280 VIH786280 VSD786280 WBZ786280 WLV786280 WVR786280 JF851816 TB851816 ACX851816 AMT851816 AWP851816 BGL851816 BQH851816 CAD851816 CJZ851816 CTV851816 DDR851816 DNN851816 DXJ851816 EHF851816 ERB851816 FAX851816 FKT851816 FUP851816 GEL851816 GOH851816 GYD851816 HHZ851816 HRV851816 IBR851816 ILN851816 IVJ851816 JFF851816 JPB851816 JYX851816 KIT851816 KSP851816 LCL851816 LMH851816 LWD851816 MFZ851816 MPV851816 MZR851816 NJN851816 NTJ851816 ODF851816 ONB851816 OWX851816 PGT851816 PQP851816 QAL851816 QKH851816 QUD851816 RDZ851816 RNV851816 RXR851816 SHN851816 SRJ851816 TBF851816 TLB851816 TUX851816 UET851816 UOP851816 UYL851816 VIH851816 VSD851816 WBZ851816 WLV851816 WVR851816 JF917352 TB917352 ACX917352 AMT917352 AWP917352 BGL917352 BQH917352 CAD917352 CJZ917352 CTV917352 DDR917352 DNN917352 DXJ917352 EHF917352 ERB917352 FAX917352 FKT917352 FUP917352 GEL917352 GOH917352 GYD917352 HHZ917352 HRV917352 IBR917352 ILN917352 IVJ917352 JFF917352 JPB917352 JYX917352 KIT917352 KSP917352 LCL917352 LMH917352 LWD917352 MFZ917352 MPV917352 MZR917352 NJN917352 NTJ917352 ODF917352 ONB917352 OWX917352 PGT917352 PQP917352 QAL917352 QKH917352 QUD917352 RDZ917352 RNV917352 RXR917352 SHN917352 SRJ917352 TBF917352 TLB917352 TUX917352 UET917352 UOP917352 UYL917352 VIH917352 VSD917352 WBZ917352 WLV917352 WVR917352 JF982888 TB982888 ACX982888 AMT982888 AWP982888 BGL982888 BQH982888 CAD982888 CJZ982888 CTV982888 DDR982888 DNN982888 DXJ982888 EHF982888 ERB982888 FAX982888 FKT982888 FUP982888 GEL982888 GOH982888 GYD982888 HHZ982888 HRV982888 IBR982888 ILN982888 IVJ982888 JFF982888 JPB982888 JYX982888 KIT982888 KSP982888 LCL982888 LMH982888 LWD982888 MFZ982888 MPV982888 MZR982888 NJN982888 NTJ982888 ODF982888 ONB982888 OWX982888 PGT982888 PQP982888 QAL982888 QKH982888 QUD982888 RDZ982888 RNV982888 RXR982888 SHN982888 SRJ982888 TBF982888 TLB982888 TUX982888 UET982888 UOP982888 UYL982888 VIH982888 VSD982888 WBZ982888 WLV982888 WVR982888"/>
    <dataValidation allowBlank="1" showInputMessage="1" showErrorMessage="1" prompt="6° 17' 40.1424''" sqref="JH65384 TD65384 ACZ65384 AMV65384 AWR65384 BGN65384 BQJ65384 CAF65384 CKB65384 CTX65384 DDT65384 DNP65384 DXL65384 EHH65384 ERD65384 FAZ65384 FKV65384 FUR65384 GEN65384 GOJ65384 GYF65384 HIB65384 HRX65384 IBT65384 ILP65384 IVL65384 JFH65384 JPD65384 JYZ65384 KIV65384 KSR65384 LCN65384 LMJ65384 LWF65384 MGB65384 MPX65384 MZT65384 NJP65384 NTL65384 ODH65384 OND65384 OWZ65384 PGV65384 PQR65384 QAN65384 QKJ65384 QUF65384 REB65384 RNX65384 RXT65384 SHP65384 SRL65384 TBH65384 TLD65384 TUZ65384 UEV65384 UOR65384 UYN65384 VIJ65384 VSF65384 WCB65384 WLX65384 WVT65384 JH130920 TD130920 ACZ130920 AMV130920 AWR130920 BGN130920 BQJ130920 CAF130920 CKB130920 CTX130920 DDT130920 DNP130920 DXL130920 EHH130920 ERD130920 FAZ130920 FKV130920 FUR130920 GEN130920 GOJ130920 GYF130920 HIB130920 HRX130920 IBT130920 ILP130920 IVL130920 JFH130920 JPD130920 JYZ130920 KIV130920 KSR130920 LCN130920 LMJ130920 LWF130920 MGB130920 MPX130920 MZT130920 NJP130920 NTL130920 ODH130920 OND130920 OWZ130920 PGV130920 PQR130920 QAN130920 QKJ130920 QUF130920 REB130920 RNX130920 RXT130920 SHP130920 SRL130920 TBH130920 TLD130920 TUZ130920 UEV130920 UOR130920 UYN130920 VIJ130920 VSF130920 WCB130920 WLX130920 WVT130920 JH196456 TD196456 ACZ196456 AMV196456 AWR196456 BGN196456 BQJ196456 CAF196456 CKB196456 CTX196456 DDT196456 DNP196456 DXL196456 EHH196456 ERD196456 FAZ196456 FKV196456 FUR196456 GEN196456 GOJ196456 GYF196456 HIB196456 HRX196456 IBT196456 ILP196456 IVL196456 JFH196456 JPD196456 JYZ196456 KIV196456 KSR196456 LCN196456 LMJ196456 LWF196456 MGB196456 MPX196456 MZT196456 NJP196456 NTL196456 ODH196456 OND196456 OWZ196456 PGV196456 PQR196456 QAN196456 QKJ196456 QUF196456 REB196456 RNX196456 RXT196456 SHP196456 SRL196456 TBH196456 TLD196456 TUZ196456 UEV196456 UOR196456 UYN196456 VIJ196456 VSF196456 WCB196456 WLX196456 WVT196456 JH261992 TD261992 ACZ261992 AMV261992 AWR261992 BGN261992 BQJ261992 CAF261992 CKB261992 CTX261992 DDT261992 DNP261992 DXL261992 EHH261992 ERD261992 FAZ261992 FKV261992 FUR261992 GEN261992 GOJ261992 GYF261992 HIB261992 HRX261992 IBT261992 ILP261992 IVL261992 JFH261992 JPD261992 JYZ261992 KIV261992 KSR261992 LCN261992 LMJ261992 LWF261992 MGB261992 MPX261992 MZT261992 NJP261992 NTL261992 ODH261992 OND261992 OWZ261992 PGV261992 PQR261992 QAN261992 QKJ261992 QUF261992 REB261992 RNX261992 RXT261992 SHP261992 SRL261992 TBH261992 TLD261992 TUZ261992 UEV261992 UOR261992 UYN261992 VIJ261992 VSF261992 WCB261992 WLX261992 WVT261992 JH327528 TD327528 ACZ327528 AMV327528 AWR327528 BGN327528 BQJ327528 CAF327528 CKB327528 CTX327528 DDT327528 DNP327528 DXL327528 EHH327528 ERD327528 FAZ327528 FKV327528 FUR327528 GEN327528 GOJ327528 GYF327528 HIB327528 HRX327528 IBT327528 ILP327528 IVL327528 JFH327528 JPD327528 JYZ327528 KIV327528 KSR327528 LCN327528 LMJ327528 LWF327528 MGB327528 MPX327528 MZT327528 NJP327528 NTL327528 ODH327528 OND327528 OWZ327528 PGV327528 PQR327528 QAN327528 QKJ327528 QUF327528 REB327528 RNX327528 RXT327528 SHP327528 SRL327528 TBH327528 TLD327528 TUZ327528 UEV327528 UOR327528 UYN327528 VIJ327528 VSF327528 WCB327528 WLX327528 WVT327528 JH393064 TD393064 ACZ393064 AMV393064 AWR393064 BGN393064 BQJ393064 CAF393064 CKB393064 CTX393064 DDT393064 DNP393064 DXL393064 EHH393064 ERD393064 FAZ393064 FKV393064 FUR393064 GEN393064 GOJ393064 GYF393064 HIB393064 HRX393064 IBT393064 ILP393064 IVL393064 JFH393064 JPD393064 JYZ393064 KIV393064 KSR393064 LCN393064 LMJ393064 LWF393064 MGB393064 MPX393064 MZT393064 NJP393064 NTL393064 ODH393064 OND393064 OWZ393064 PGV393064 PQR393064 QAN393064 QKJ393064 QUF393064 REB393064 RNX393064 RXT393064 SHP393064 SRL393064 TBH393064 TLD393064 TUZ393064 UEV393064 UOR393064 UYN393064 VIJ393064 VSF393064 WCB393064 WLX393064 WVT393064 JH458600 TD458600 ACZ458600 AMV458600 AWR458600 BGN458600 BQJ458600 CAF458600 CKB458600 CTX458600 DDT458600 DNP458600 DXL458600 EHH458600 ERD458600 FAZ458600 FKV458600 FUR458600 GEN458600 GOJ458600 GYF458600 HIB458600 HRX458600 IBT458600 ILP458600 IVL458600 JFH458600 JPD458600 JYZ458600 KIV458600 KSR458600 LCN458600 LMJ458600 LWF458600 MGB458600 MPX458600 MZT458600 NJP458600 NTL458600 ODH458600 OND458600 OWZ458600 PGV458600 PQR458600 QAN458600 QKJ458600 QUF458600 REB458600 RNX458600 RXT458600 SHP458600 SRL458600 TBH458600 TLD458600 TUZ458600 UEV458600 UOR458600 UYN458600 VIJ458600 VSF458600 WCB458600 WLX458600 WVT458600 JH524136 TD524136 ACZ524136 AMV524136 AWR524136 BGN524136 BQJ524136 CAF524136 CKB524136 CTX524136 DDT524136 DNP524136 DXL524136 EHH524136 ERD524136 FAZ524136 FKV524136 FUR524136 GEN524136 GOJ524136 GYF524136 HIB524136 HRX524136 IBT524136 ILP524136 IVL524136 JFH524136 JPD524136 JYZ524136 KIV524136 KSR524136 LCN524136 LMJ524136 LWF524136 MGB524136 MPX524136 MZT524136 NJP524136 NTL524136 ODH524136 OND524136 OWZ524136 PGV524136 PQR524136 QAN524136 QKJ524136 QUF524136 REB524136 RNX524136 RXT524136 SHP524136 SRL524136 TBH524136 TLD524136 TUZ524136 UEV524136 UOR524136 UYN524136 VIJ524136 VSF524136 WCB524136 WLX524136 WVT524136 JH589672 TD589672 ACZ589672 AMV589672 AWR589672 BGN589672 BQJ589672 CAF589672 CKB589672 CTX589672 DDT589672 DNP589672 DXL589672 EHH589672 ERD589672 FAZ589672 FKV589672 FUR589672 GEN589672 GOJ589672 GYF589672 HIB589672 HRX589672 IBT589672 ILP589672 IVL589672 JFH589672 JPD589672 JYZ589672 KIV589672 KSR589672 LCN589672 LMJ589672 LWF589672 MGB589672 MPX589672 MZT589672 NJP589672 NTL589672 ODH589672 OND589672 OWZ589672 PGV589672 PQR589672 QAN589672 QKJ589672 QUF589672 REB589672 RNX589672 RXT589672 SHP589672 SRL589672 TBH589672 TLD589672 TUZ589672 UEV589672 UOR589672 UYN589672 VIJ589672 VSF589672 WCB589672 WLX589672 WVT589672 JH655208 TD655208 ACZ655208 AMV655208 AWR655208 BGN655208 BQJ655208 CAF655208 CKB655208 CTX655208 DDT655208 DNP655208 DXL655208 EHH655208 ERD655208 FAZ655208 FKV655208 FUR655208 GEN655208 GOJ655208 GYF655208 HIB655208 HRX655208 IBT655208 ILP655208 IVL655208 JFH655208 JPD655208 JYZ655208 KIV655208 KSR655208 LCN655208 LMJ655208 LWF655208 MGB655208 MPX655208 MZT655208 NJP655208 NTL655208 ODH655208 OND655208 OWZ655208 PGV655208 PQR655208 QAN655208 QKJ655208 QUF655208 REB655208 RNX655208 RXT655208 SHP655208 SRL655208 TBH655208 TLD655208 TUZ655208 UEV655208 UOR655208 UYN655208 VIJ655208 VSF655208 WCB655208 WLX655208 WVT655208 JH720744 TD720744 ACZ720744 AMV720744 AWR720744 BGN720744 BQJ720744 CAF720744 CKB720744 CTX720744 DDT720744 DNP720744 DXL720744 EHH720744 ERD720744 FAZ720744 FKV720744 FUR720744 GEN720744 GOJ720744 GYF720744 HIB720744 HRX720744 IBT720744 ILP720744 IVL720744 JFH720744 JPD720744 JYZ720744 KIV720744 KSR720744 LCN720744 LMJ720744 LWF720744 MGB720744 MPX720744 MZT720744 NJP720744 NTL720744 ODH720744 OND720744 OWZ720744 PGV720744 PQR720744 QAN720744 QKJ720744 QUF720744 REB720744 RNX720744 RXT720744 SHP720744 SRL720744 TBH720744 TLD720744 TUZ720744 UEV720744 UOR720744 UYN720744 VIJ720744 VSF720744 WCB720744 WLX720744 WVT720744 JH786280 TD786280 ACZ786280 AMV786280 AWR786280 BGN786280 BQJ786280 CAF786280 CKB786280 CTX786280 DDT786280 DNP786280 DXL786280 EHH786280 ERD786280 FAZ786280 FKV786280 FUR786280 GEN786280 GOJ786280 GYF786280 HIB786280 HRX786280 IBT786280 ILP786280 IVL786280 JFH786280 JPD786280 JYZ786280 KIV786280 KSR786280 LCN786280 LMJ786280 LWF786280 MGB786280 MPX786280 MZT786280 NJP786280 NTL786280 ODH786280 OND786280 OWZ786280 PGV786280 PQR786280 QAN786280 QKJ786280 QUF786280 REB786280 RNX786280 RXT786280 SHP786280 SRL786280 TBH786280 TLD786280 TUZ786280 UEV786280 UOR786280 UYN786280 VIJ786280 VSF786280 WCB786280 WLX786280 WVT786280 JH851816 TD851816 ACZ851816 AMV851816 AWR851816 BGN851816 BQJ851816 CAF851816 CKB851816 CTX851816 DDT851816 DNP851816 DXL851816 EHH851816 ERD851816 FAZ851816 FKV851816 FUR851816 GEN851816 GOJ851816 GYF851816 HIB851816 HRX851816 IBT851816 ILP851816 IVL851816 JFH851816 JPD851816 JYZ851816 KIV851816 KSR851816 LCN851816 LMJ851816 LWF851816 MGB851816 MPX851816 MZT851816 NJP851816 NTL851816 ODH851816 OND851816 OWZ851816 PGV851816 PQR851816 QAN851816 QKJ851816 QUF851816 REB851816 RNX851816 RXT851816 SHP851816 SRL851816 TBH851816 TLD851816 TUZ851816 UEV851816 UOR851816 UYN851816 VIJ851816 VSF851816 WCB851816 WLX851816 WVT851816 JH917352 TD917352 ACZ917352 AMV917352 AWR917352 BGN917352 BQJ917352 CAF917352 CKB917352 CTX917352 DDT917352 DNP917352 DXL917352 EHH917352 ERD917352 FAZ917352 FKV917352 FUR917352 GEN917352 GOJ917352 GYF917352 HIB917352 HRX917352 IBT917352 ILP917352 IVL917352 JFH917352 JPD917352 JYZ917352 KIV917352 KSR917352 LCN917352 LMJ917352 LWF917352 MGB917352 MPX917352 MZT917352 NJP917352 NTL917352 ODH917352 OND917352 OWZ917352 PGV917352 PQR917352 QAN917352 QKJ917352 QUF917352 REB917352 RNX917352 RXT917352 SHP917352 SRL917352 TBH917352 TLD917352 TUZ917352 UEV917352 UOR917352 UYN917352 VIJ917352 VSF917352 WCB917352 WLX917352 WVT917352 JH982888 TD982888 ACZ982888 AMV982888 AWR982888 BGN982888 BQJ982888 CAF982888 CKB982888 CTX982888 DDT982888 DNP982888 DXL982888 EHH982888 ERD982888 FAZ982888 FKV982888 FUR982888 GEN982888 GOJ982888 GYF982888 HIB982888 HRX982888 IBT982888 ILP982888 IVL982888 JFH982888 JPD982888 JYZ982888 KIV982888 KSR982888 LCN982888 LMJ982888 LWF982888 MGB982888 MPX982888 MZT982888 NJP982888 NTL982888 ODH982888 OND982888 OWZ982888 PGV982888 PQR982888 QAN982888 QKJ982888 QUF982888 REB982888 RNX982888 RXT982888 SHP982888 SRL982888 TBH982888 TLD982888 TUZ982888 UEV982888 UOR982888 UYN982888 VIJ982888 VSF982888 WCB982888 WLX982888 WVT982888"/>
    <dataValidation type="list" allowBlank="1" showInputMessage="1" showErrorMessage="1" sqref="Q20">
      <formula1>"0,1"</formula1>
    </dataValidation>
    <dataValidation type="list" allowBlank="1" showInputMessage="1" showErrorMessage="1" sqref="H20:I20">
      <formula1>"Profile 1, Profile 2A,Profile 2B, Profile 2C, Profile 3A, Profile 3B, Profile 3C, Profile 4A, Profile 4B, Profile 4C, Profile 4D, PNSO"</formula1>
    </dataValidation>
    <dataValidation type="list" allowBlank="1" showInputMessage="1" showErrorMessage="1" sqref="H6:I6">
      <formula1>"C0,C1,C2,C3,C4,C5,M1,M2,M3,M4,M5,M6"</formula1>
    </dataValidation>
    <dataValidation type="list" allowBlank="1" showInputMessage="1" showErrorMessage="1" sqref="H14">
      <formula1>"Central, Low, High"</formula1>
    </dataValidation>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view="pageLayout" zoomScale="80" zoomScaleNormal="100" zoomScalePageLayoutView="80" workbookViewId="0">
      <selection activeCell="K3" sqref="K3:X4"/>
    </sheetView>
  </sheetViews>
  <sheetFormatPr defaultRowHeight="15" customHeight="1" x14ac:dyDescent="0.3"/>
  <cols>
    <col min="1" max="1" width="2.6640625" style="2" customWidth="1"/>
    <col min="2" max="15" width="5.33203125" style="2" customWidth="1"/>
    <col min="16" max="16" width="12.33203125" style="2" customWidth="1"/>
    <col min="17" max="17" width="5.33203125" style="2" customWidth="1"/>
    <col min="18" max="18" width="8" style="2" customWidth="1"/>
    <col min="19" max="24" width="5.33203125" style="2" customWidth="1"/>
    <col min="25" max="25" width="6.33203125" style="2" customWidth="1"/>
    <col min="26" max="265" width="7.6640625" style="2" customWidth="1"/>
    <col min="266" max="266" width="14.33203125" style="2" customWidth="1"/>
    <col min="267" max="267" width="4" style="2" customWidth="1"/>
    <col min="268" max="268" width="14.33203125" style="2" customWidth="1"/>
    <col min="269" max="269" width="4" style="2" customWidth="1"/>
    <col min="270" max="521" width="7.6640625" style="2" customWidth="1"/>
    <col min="522" max="522" width="14.33203125" style="2" customWidth="1"/>
    <col min="523" max="523" width="4" style="2" customWidth="1"/>
    <col min="524" max="524" width="14.33203125" style="2" customWidth="1"/>
    <col min="525" max="525" width="4" style="2" customWidth="1"/>
    <col min="526" max="777" width="7.6640625" style="2" customWidth="1"/>
    <col min="778" max="778" width="14.33203125" style="2" customWidth="1"/>
    <col min="779" max="779" width="4" style="2" customWidth="1"/>
    <col min="780" max="780" width="14.33203125" style="2" customWidth="1"/>
    <col min="781" max="781" width="4" style="2" customWidth="1"/>
    <col min="782" max="1033" width="7.6640625" style="2" customWidth="1"/>
    <col min="1034" max="1034" width="14.33203125" style="2" customWidth="1"/>
    <col min="1035" max="1035" width="4" style="2" customWidth="1"/>
    <col min="1036" max="1036" width="14.33203125" style="2" customWidth="1"/>
    <col min="1037" max="1037" width="4" style="2" customWidth="1"/>
    <col min="1038" max="1289" width="7.6640625" style="2" customWidth="1"/>
    <col min="1290" max="1290" width="14.33203125" style="2" customWidth="1"/>
    <col min="1291" max="1291" width="4" style="2" customWidth="1"/>
    <col min="1292" max="1292" width="14.33203125" style="2" customWidth="1"/>
    <col min="1293" max="1293" width="4" style="2" customWidth="1"/>
    <col min="1294" max="1545" width="7.6640625" style="2" customWidth="1"/>
    <col min="1546" max="1546" width="14.33203125" style="2" customWidth="1"/>
    <col min="1547" max="1547" width="4" style="2" customWidth="1"/>
    <col min="1548" max="1548" width="14.33203125" style="2" customWidth="1"/>
    <col min="1549" max="1549" width="4" style="2" customWidth="1"/>
    <col min="1550" max="1801" width="7.6640625" style="2" customWidth="1"/>
    <col min="1802" max="1802" width="14.33203125" style="2" customWidth="1"/>
    <col min="1803" max="1803" width="4" style="2" customWidth="1"/>
    <col min="1804" max="1804" width="14.33203125" style="2" customWidth="1"/>
    <col min="1805" max="1805" width="4" style="2" customWidth="1"/>
    <col min="1806" max="2057" width="7.6640625" style="2" customWidth="1"/>
    <col min="2058" max="2058" width="14.33203125" style="2" customWidth="1"/>
    <col min="2059" max="2059" width="4" style="2" customWidth="1"/>
    <col min="2060" max="2060" width="14.33203125" style="2" customWidth="1"/>
    <col min="2061" max="2061" width="4" style="2" customWidth="1"/>
    <col min="2062" max="2313" width="7.6640625" style="2" customWidth="1"/>
    <col min="2314" max="2314" width="14.33203125" style="2" customWidth="1"/>
    <col min="2315" max="2315" width="4" style="2" customWidth="1"/>
    <col min="2316" max="2316" width="14.33203125" style="2" customWidth="1"/>
    <col min="2317" max="2317" width="4" style="2" customWidth="1"/>
    <col min="2318" max="2569" width="7.6640625" style="2" customWidth="1"/>
    <col min="2570" max="2570" width="14.33203125" style="2" customWidth="1"/>
    <col min="2571" max="2571" width="4" style="2" customWidth="1"/>
    <col min="2572" max="2572" width="14.33203125" style="2" customWidth="1"/>
    <col min="2573" max="2573" width="4" style="2" customWidth="1"/>
    <col min="2574" max="2825" width="7.6640625" style="2" customWidth="1"/>
    <col min="2826" max="2826" width="14.33203125" style="2" customWidth="1"/>
    <col min="2827" max="2827" width="4" style="2" customWidth="1"/>
    <col min="2828" max="2828" width="14.33203125" style="2" customWidth="1"/>
    <col min="2829" max="2829" width="4" style="2" customWidth="1"/>
    <col min="2830" max="3081" width="7.6640625" style="2" customWidth="1"/>
    <col min="3082" max="3082" width="14.33203125" style="2" customWidth="1"/>
    <col min="3083" max="3083" width="4" style="2" customWidth="1"/>
    <col min="3084" max="3084" width="14.33203125" style="2" customWidth="1"/>
    <col min="3085" max="3085" width="4" style="2" customWidth="1"/>
    <col min="3086" max="3337" width="7.6640625" style="2" customWidth="1"/>
    <col min="3338" max="3338" width="14.33203125" style="2" customWidth="1"/>
    <col min="3339" max="3339" width="4" style="2" customWidth="1"/>
    <col min="3340" max="3340" width="14.33203125" style="2" customWidth="1"/>
    <col min="3341" max="3341" width="4" style="2" customWidth="1"/>
    <col min="3342" max="3593" width="7.6640625" style="2" customWidth="1"/>
    <col min="3594" max="3594" width="14.33203125" style="2" customWidth="1"/>
    <col min="3595" max="3595" width="4" style="2" customWidth="1"/>
    <col min="3596" max="3596" width="14.33203125" style="2" customWidth="1"/>
    <col min="3597" max="3597" width="4" style="2" customWidth="1"/>
    <col min="3598" max="3849" width="7.6640625" style="2" customWidth="1"/>
    <col min="3850" max="3850" width="14.33203125" style="2" customWidth="1"/>
    <col min="3851" max="3851" width="4" style="2" customWidth="1"/>
    <col min="3852" max="3852" width="14.33203125" style="2" customWidth="1"/>
    <col min="3853" max="3853" width="4" style="2" customWidth="1"/>
    <col min="3854" max="4105" width="7.6640625" style="2" customWidth="1"/>
    <col min="4106" max="4106" width="14.33203125" style="2" customWidth="1"/>
    <col min="4107" max="4107" width="4" style="2" customWidth="1"/>
    <col min="4108" max="4108" width="14.33203125" style="2" customWidth="1"/>
    <col min="4109" max="4109" width="4" style="2" customWidth="1"/>
    <col min="4110" max="4361" width="7.6640625" style="2" customWidth="1"/>
    <col min="4362" max="4362" width="14.33203125" style="2" customWidth="1"/>
    <col min="4363" max="4363" width="4" style="2" customWidth="1"/>
    <col min="4364" max="4364" width="14.33203125" style="2" customWidth="1"/>
    <col min="4365" max="4365" width="4" style="2" customWidth="1"/>
    <col min="4366" max="4617" width="7.6640625" style="2" customWidth="1"/>
    <col min="4618" max="4618" width="14.33203125" style="2" customWidth="1"/>
    <col min="4619" max="4619" width="4" style="2" customWidth="1"/>
    <col min="4620" max="4620" width="14.33203125" style="2" customWidth="1"/>
    <col min="4621" max="4621" width="4" style="2" customWidth="1"/>
    <col min="4622" max="4873" width="7.6640625" style="2" customWidth="1"/>
    <col min="4874" max="4874" width="14.33203125" style="2" customWidth="1"/>
    <col min="4875" max="4875" width="4" style="2" customWidth="1"/>
    <col min="4876" max="4876" width="14.33203125" style="2" customWidth="1"/>
    <col min="4877" max="4877" width="4" style="2" customWidth="1"/>
    <col min="4878" max="5129" width="7.6640625" style="2" customWidth="1"/>
    <col min="5130" max="5130" width="14.33203125" style="2" customWidth="1"/>
    <col min="5131" max="5131" width="4" style="2" customWidth="1"/>
    <col min="5132" max="5132" width="14.33203125" style="2" customWidth="1"/>
    <col min="5133" max="5133" width="4" style="2" customWidth="1"/>
    <col min="5134" max="5385" width="7.6640625" style="2" customWidth="1"/>
    <col min="5386" max="5386" width="14.33203125" style="2" customWidth="1"/>
    <col min="5387" max="5387" width="4" style="2" customWidth="1"/>
    <col min="5388" max="5388" width="14.33203125" style="2" customWidth="1"/>
    <col min="5389" max="5389" width="4" style="2" customWidth="1"/>
    <col min="5390" max="5641" width="7.6640625" style="2" customWidth="1"/>
    <col min="5642" max="5642" width="14.33203125" style="2" customWidth="1"/>
    <col min="5643" max="5643" width="4" style="2" customWidth="1"/>
    <col min="5644" max="5644" width="14.33203125" style="2" customWidth="1"/>
    <col min="5645" max="5645" width="4" style="2" customWidth="1"/>
    <col min="5646" max="5897" width="7.6640625" style="2" customWidth="1"/>
    <col min="5898" max="5898" width="14.33203125" style="2" customWidth="1"/>
    <col min="5899" max="5899" width="4" style="2" customWidth="1"/>
    <col min="5900" max="5900" width="14.33203125" style="2" customWidth="1"/>
    <col min="5901" max="5901" width="4" style="2" customWidth="1"/>
    <col min="5902" max="6153" width="7.6640625" style="2" customWidth="1"/>
    <col min="6154" max="6154" width="14.33203125" style="2" customWidth="1"/>
    <col min="6155" max="6155" width="4" style="2" customWidth="1"/>
    <col min="6156" max="6156" width="14.33203125" style="2" customWidth="1"/>
    <col min="6157" max="6157" width="4" style="2" customWidth="1"/>
    <col min="6158" max="6409" width="7.6640625" style="2" customWidth="1"/>
    <col min="6410" max="6410" width="14.33203125" style="2" customWidth="1"/>
    <col min="6411" max="6411" width="4" style="2" customWidth="1"/>
    <col min="6412" max="6412" width="14.33203125" style="2" customWidth="1"/>
    <col min="6413" max="6413" width="4" style="2" customWidth="1"/>
    <col min="6414" max="6665" width="7.6640625" style="2" customWidth="1"/>
    <col min="6666" max="6666" width="14.33203125" style="2" customWidth="1"/>
    <col min="6667" max="6667" width="4" style="2" customWidth="1"/>
    <col min="6668" max="6668" width="14.33203125" style="2" customWidth="1"/>
    <col min="6669" max="6669" width="4" style="2" customWidth="1"/>
    <col min="6670" max="6921" width="7.6640625" style="2" customWidth="1"/>
    <col min="6922" max="6922" width="14.33203125" style="2" customWidth="1"/>
    <col min="6923" max="6923" width="4" style="2" customWidth="1"/>
    <col min="6924" max="6924" width="14.33203125" style="2" customWidth="1"/>
    <col min="6925" max="6925" width="4" style="2" customWidth="1"/>
    <col min="6926" max="7177" width="7.6640625" style="2" customWidth="1"/>
    <col min="7178" max="7178" width="14.33203125" style="2" customWidth="1"/>
    <col min="7179" max="7179" width="4" style="2" customWidth="1"/>
    <col min="7180" max="7180" width="14.33203125" style="2" customWidth="1"/>
    <col min="7181" max="7181" width="4" style="2" customWidth="1"/>
    <col min="7182" max="7433" width="7.6640625" style="2" customWidth="1"/>
    <col min="7434" max="7434" width="14.33203125" style="2" customWidth="1"/>
    <col min="7435" max="7435" width="4" style="2" customWidth="1"/>
    <col min="7436" max="7436" width="14.33203125" style="2" customWidth="1"/>
    <col min="7437" max="7437" width="4" style="2" customWidth="1"/>
    <col min="7438" max="7689" width="7.6640625" style="2" customWidth="1"/>
    <col min="7690" max="7690" width="14.33203125" style="2" customWidth="1"/>
    <col min="7691" max="7691" width="4" style="2" customWidth="1"/>
    <col min="7692" max="7692" width="14.33203125" style="2" customWidth="1"/>
    <col min="7693" max="7693" width="4" style="2" customWidth="1"/>
    <col min="7694" max="7945" width="7.6640625" style="2" customWidth="1"/>
    <col min="7946" max="7946" width="14.33203125" style="2" customWidth="1"/>
    <col min="7947" max="7947" width="4" style="2" customWidth="1"/>
    <col min="7948" max="7948" width="14.33203125" style="2" customWidth="1"/>
    <col min="7949" max="7949" width="4" style="2" customWidth="1"/>
    <col min="7950" max="8201" width="7.6640625" style="2" customWidth="1"/>
    <col min="8202" max="8202" width="14.33203125" style="2" customWidth="1"/>
    <col min="8203" max="8203" width="4" style="2" customWidth="1"/>
    <col min="8204" max="8204" width="14.33203125" style="2" customWidth="1"/>
    <col min="8205" max="8205" width="4" style="2" customWidth="1"/>
    <col min="8206" max="8457" width="7.6640625" style="2" customWidth="1"/>
    <col min="8458" max="8458" width="14.33203125" style="2" customWidth="1"/>
    <col min="8459" max="8459" width="4" style="2" customWidth="1"/>
    <col min="8460" max="8460" width="14.33203125" style="2" customWidth="1"/>
    <col min="8461" max="8461" width="4" style="2" customWidth="1"/>
    <col min="8462" max="8713" width="7.6640625" style="2" customWidth="1"/>
    <col min="8714" max="8714" width="14.33203125" style="2" customWidth="1"/>
    <col min="8715" max="8715" width="4" style="2" customWidth="1"/>
    <col min="8716" max="8716" width="14.33203125" style="2" customWidth="1"/>
    <col min="8717" max="8717" width="4" style="2" customWidth="1"/>
    <col min="8718" max="8969" width="7.6640625" style="2" customWidth="1"/>
    <col min="8970" max="8970" width="14.33203125" style="2" customWidth="1"/>
    <col min="8971" max="8971" width="4" style="2" customWidth="1"/>
    <col min="8972" max="8972" width="14.33203125" style="2" customWidth="1"/>
    <col min="8973" max="8973" width="4" style="2" customWidth="1"/>
    <col min="8974" max="9225" width="7.6640625" style="2" customWidth="1"/>
    <col min="9226" max="9226" width="14.33203125" style="2" customWidth="1"/>
    <col min="9227" max="9227" width="4" style="2" customWidth="1"/>
    <col min="9228" max="9228" width="14.33203125" style="2" customWidth="1"/>
    <col min="9229" max="9229" width="4" style="2" customWidth="1"/>
    <col min="9230" max="9481" width="7.6640625" style="2" customWidth="1"/>
    <col min="9482" max="9482" width="14.33203125" style="2" customWidth="1"/>
    <col min="9483" max="9483" width="4" style="2" customWidth="1"/>
    <col min="9484" max="9484" width="14.33203125" style="2" customWidth="1"/>
    <col min="9485" max="9485" width="4" style="2" customWidth="1"/>
    <col min="9486" max="9737" width="7.6640625" style="2" customWidth="1"/>
    <col min="9738" max="9738" width="14.33203125" style="2" customWidth="1"/>
    <col min="9739" max="9739" width="4" style="2" customWidth="1"/>
    <col min="9740" max="9740" width="14.33203125" style="2" customWidth="1"/>
    <col min="9741" max="9741" width="4" style="2" customWidth="1"/>
    <col min="9742" max="9993" width="7.6640625" style="2" customWidth="1"/>
    <col min="9994" max="9994" width="14.33203125" style="2" customWidth="1"/>
    <col min="9995" max="9995" width="4" style="2" customWidth="1"/>
    <col min="9996" max="9996" width="14.33203125" style="2" customWidth="1"/>
    <col min="9997" max="9997" width="4" style="2" customWidth="1"/>
    <col min="9998" max="10249" width="7.6640625" style="2" customWidth="1"/>
    <col min="10250" max="10250" width="14.33203125" style="2" customWidth="1"/>
    <col min="10251" max="10251" width="4" style="2" customWidth="1"/>
    <col min="10252" max="10252" width="14.33203125" style="2" customWidth="1"/>
    <col min="10253" max="10253" width="4" style="2" customWidth="1"/>
    <col min="10254" max="10505" width="7.6640625" style="2" customWidth="1"/>
    <col min="10506" max="10506" width="14.33203125" style="2" customWidth="1"/>
    <col min="10507" max="10507" width="4" style="2" customWidth="1"/>
    <col min="10508" max="10508" width="14.33203125" style="2" customWidth="1"/>
    <col min="10509" max="10509" width="4" style="2" customWidth="1"/>
    <col min="10510" max="10761" width="7.6640625" style="2" customWidth="1"/>
    <col min="10762" max="10762" width="14.33203125" style="2" customWidth="1"/>
    <col min="10763" max="10763" width="4" style="2" customWidth="1"/>
    <col min="10764" max="10764" width="14.33203125" style="2" customWidth="1"/>
    <col min="10765" max="10765" width="4" style="2" customWidth="1"/>
    <col min="10766" max="11017" width="7.6640625" style="2" customWidth="1"/>
    <col min="11018" max="11018" width="14.33203125" style="2" customWidth="1"/>
    <col min="11019" max="11019" width="4" style="2" customWidth="1"/>
    <col min="11020" max="11020" width="14.33203125" style="2" customWidth="1"/>
    <col min="11021" max="11021" width="4" style="2" customWidth="1"/>
    <col min="11022" max="11273" width="7.6640625" style="2" customWidth="1"/>
    <col min="11274" max="11274" width="14.33203125" style="2" customWidth="1"/>
    <col min="11275" max="11275" width="4" style="2" customWidth="1"/>
    <col min="11276" max="11276" width="14.33203125" style="2" customWidth="1"/>
    <col min="11277" max="11277" width="4" style="2" customWidth="1"/>
    <col min="11278" max="11529" width="7.6640625" style="2" customWidth="1"/>
    <col min="11530" max="11530" width="14.33203125" style="2" customWidth="1"/>
    <col min="11531" max="11531" width="4" style="2" customWidth="1"/>
    <col min="11532" max="11532" width="14.33203125" style="2" customWidth="1"/>
    <col min="11533" max="11533" width="4" style="2" customWidth="1"/>
    <col min="11534" max="11785" width="7.6640625" style="2" customWidth="1"/>
    <col min="11786" max="11786" width="14.33203125" style="2" customWidth="1"/>
    <col min="11787" max="11787" width="4" style="2" customWidth="1"/>
    <col min="11788" max="11788" width="14.33203125" style="2" customWidth="1"/>
    <col min="11789" max="11789" width="4" style="2" customWidth="1"/>
    <col min="11790" max="12041" width="7.6640625" style="2" customWidth="1"/>
    <col min="12042" max="12042" width="14.33203125" style="2" customWidth="1"/>
    <col min="12043" max="12043" width="4" style="2" customWidth="1"/>
    <col min="12044" max="12044" width="14.33203125" style="2" customWidth="1"/>
    <col min="12045" max="12045" width="4" style="2" customWidth="1"/>
    <col min="12046" max="12297" width="7.6640625" style="2" customWidth="1"/>
    <col min="12298" max="12298" width="14.33203125" style="2" customWidth="1"/>
    <col min="12299" max="12299" width="4" style="2" customWidth="1"/>
    <col min="12300" max="12300" width="14.33203125" style="2" customWidth="1"/>
    <col min="12301" max="12301" width="4" style="2" customWidth="1"/>
    <col min="12302" max="12553" width="7.6640625" style="2" customWidth="1"/>
    <col min="12554" max="12554" width="14.33203125" style="2" customWidth="1"/>
    <col min="12555" max="12555" width="4" style="2" customWidth="1"/>
    <col min="12556" max="12556" width="14.33203125" style="2" customWidth="1"/>
    <col min="12557" max="12557" width="4" style="2" customWidth="1"/>
    <col min="12558" max="12809" width="7.6640625" style="2" customWidth="1"/>
    <col min="12810" max="12810" width="14.33203125" style="2" customWidth="1"/>
    <col min="12811" max="12811" width="4" style="2" customWidth="1"/>
    <col min="12812" max="12812" width="14.33203125" style="2" customWidth="1"/>
    <col min="12813" max="12813" width="4" style="2" customWidth="1"/>
    <col min="12814" max="13065" width="7.6640625" style="2" customWidth="1"/>
    <col min="13066" max="13066" width="14.33203125" style="2" customWidth="1"/>
    <col min="13067" max="13067" width="4" style="2" customWidth="1"/>
    <col min="13068" max="13068" width="14.33203125" style="2" customWidth="1"/>
    <col min="13069" max="13069" width="4" style="2" customWidth="1"/>
    <col min="13070" max="13321" width="7.6640625" style="2" customWidth="1"/>
    <col min="13322" max="13322" width="14.33203125" style="2" customWidth="1"/>
    <col min="13323" max="13323" width="4" style="2" customWidth="1"/>
    <col min="13324" max="13324" width="14.33203125" style="2" customWidth="1"/>
    <col min="13325" max="13325" width="4" style="2" customWidth="1"/>
    <col min="13326" max="13577" width="7.6640625" style="2" customWidth="1"/>
    <col min="13578" max="13578" width="14.33203125" style="2" customWidth="1"/>
    <col min="13579" max="13579" width="4" style="2" customWidth="1"/>
    <col min="13580" max="13580" width="14.33203125" style="2" customWidth="1"/>
    <col min="13581" max="13581" width="4" style="2" customWidth="1"/>
    <col min="13582" max="13833" width="7.6640625" style="2" customWidth="1"/>
    <col min="13834" max="13834" width="14.33203125" style="2" customWidth="1"/>
    <col min="13835" max="13835" width="4" style="2" customWidth="1"/>
    <col min="13836" max="13836" width="14.33203125" style="2" customWidth="1"/>
    <col min="13837" max="13837" width="4" style="2" customWidth="1"/>
    <col min="13838" max="14089" width="7.6640625" style="2" customWidth="1"/>
    <col min="14090" max="14090" width="14.33203125" style="2" customWidth="1"/>
    <col min="14091" max="14091" width="4" style="2" customWidth="1"/>
    <col min="14092" max="14092" width="14.33203125" style="2" customWidth="1"/>
    <col min="14093" max="14093" width="4" style="2" customWidth="1"/>
    <col min="14094" max="14345" width="7.6640625" style="2" customWidth="1"/>
    <col min="14346" max="14346" width="14.33203125" style="2" customWidth="1"/>
    <col min="14347" max="14347" width="4" style="2" customWidth="1"/>
    <col min="14348" max="14348" width="14.33203125" style="2" customWidth="1"/>
    <col min="14349" max="14349" width="4" style="2" customWidth="1"/>
    <col min="14350" max="14601" width="7.6640625" style="2" customWidth="1"/>
    <col min="14602" max="14602" width="14.33203125" style="2" customWidth="1"/>
    <col min="14603" max="14603" width="4" style="2" customWidth="1"/>
    <col min="14604" max="14604" width="14.33203125" style="2" customWidth="1"/>
    <col min="14605" max="14605" width="4" style="2" customWidth="1"/>
    <col min="14606" max="14857" width="7.6640625" style="2" customWidth="1"/>
    <col min="14858" max="14858" width="14.33203125" style="2" customWidth="1"/>
    <col min="14859" max="14859" width="4" style="2" customWidth="1"/>
    <col min="14860" max="14860" width="14.33203125" style="2" customWidth="1"/>
    <col min="14861" max="14861" width="4" style="2" customWidth="1"/>
    <col min="14862" max="15113" width="7.6640625" style="2" customWidth="1"/>
    <col min="15114" max="15114" width="14.33203125" style="2" customWidth="1"/>
    <col min="15115" max="15115" width="4" style="2" customWidth="1"/>
    <col min="15116" max="15116" width="14.33203125" style="2" customWidth="1"/>
    <col min="15117" max="15117" width="4" style="2" customWidth="1"/>
    <col min="15118" max="15369" width="7.6640625" style="2" customWidth="1"/>
    <col min="15370" max="15370" width="14.33203125" style="2" customWidth="1"/>
    <col min="15371" max="15371" width="4" style="2" customWidth="1"/>
    <col min="15372" max="15372" width="14.33203125" style="2" customWidth="1"/>
    <col min="15373" max="15373" width="4" style="2" customWidth="1"/>
    <col min="15374" max="15625" width="7.6640625" style="2" customWidth="1"/>
    <col min="15626" max="15626" width="14.33203125" style="2" customWidth="1"/>
    <col min="15627" max="15627" width="4" style="2" customWidth="1"/>
    <col min="15628" max="15628" width="14.33203125" style="2" customWidth="1"/>
    <col min="15629" max="15629" width="4" style="2" customWidth="1"/>
    <col min="15630" max="15881" width="7.6640625" style="2" customWidth="1"/>
    <col min="15882" max="15882" width="14.33203125" style="2" customWidth="1"/>
    <col min="15883" max="15883" width="4" style="2" customWidth="1"/>
    <col min="15884" max="15884" width="14.33203125" style="2" customWidth="1"/>
    <col min="15885" max="15885" width="4" style="2" customWidth="1"/>
    <col min="15886" max="16137" width="7.6640625" style="2" customWidth="1"/>
    <col min="16138" max="16138" width="14.33203125" style="2" customWidth="1"/>
    <col min="16139" max="16139" width="4" style="2" customWidth="1"/>
    <col min="16140" max="16140" width="14.33203125" style="2" customWidth="1"/>
    <col min="16141" max="16141" width="4" style="2" customWidth="1"/>
    <col min="16142" max="16384" width="7.6640625" style="2" customWidth="1"/>
  </cols>
  <sheetData>
    <row r="1" spans="1:25" ht="15" customHeight="1" x14ac:dyDescent="0.3">
      <c r="A1" s="85"/>
      <c r="B1" s="86"/>
      <c r="C1" s="86"/>
      <c r="D1" s="86"/>
      <c r="E1" s="1"/>
      <c r="F1" s="1"/>
      <c r="G1" s="1"/>
      <c r="H1" s="1"/>
      <c r="I1" s="1"/>
      <c r="J1" s="1"/>
      <c r="K1" s="1"/>
      <c r="L1" s="1"/>
      <c r="M1" s="1"/>
      <c r="N1" s="1"/>
      <c r="O1" s="1"/>
      <c r="P1" s="1"/>
      <c r="Q1" s="1"/>
      <c r="R1" s="1"/>
      <c r="S1" s="1"/>
      <c r="T1" s="1"/>
      <c r="U1" s="1"/>
      <c r="V1" s="1"/>
      <c r="W1" s="1"/>
      <c r="X1" s="1"/>
      <c r="Y1" s="1"/>
    </row>
    <row r="2" spans="1:25" ht="15" customHeight="1" x14ac:dyDescent="0.3">
      <c r="A2" s="3"/>
      <c r="B2" s="589" t="s">
        <v>139</v>
      </c>
      <c r="C2" s="3"/>
      <c r="D2" s="3"/>
      <c r="E2" s="3"/>
      <c r="F2" s="3"/>
      <c r="G2" s="3"/>
      <c r="H2" s="3"/>
      <c r="I2" s="14"/>
      <c r="J2" s="14"/>
      <c r="K2" s="711" t="s">
        <v>506</v>
      </c>
      <c r="L2" s="151"/>
      <c r="M2" s="151"/>
      <c r="N2" s="151"/>
      <c r="O2" s="151"/>
      <c r="P2" s="7"/>
      <c r="Q2" s="7"/>
      <c r="R2" s="7"/>
      <c r="S2" s="7"/>
      <c r="T2" s="7"/>
      <c r="U2" s="7"/>
      <c r="V2" s="7"/>
      <c r="W2" s="7"/>
      <c r="X2" s="7"/>
      <c r="Y2" s="79"/>
    </row>
    <row r="3" spans="1:25" ht="15" customHeight="1" x14ac:dyDescent="0.3">
      <c r="A3" s="3"/>
      <c r="B3" s="615" t="s">
        <v>444</v>
      </c>
      <c r="C3" s="3"/>
      <c r="D3" s="3"/>
      <c r="E3" s="3"/>
      <c r="F3" s="3"/>
      <c r="G3" s="3"/>
      <c r="H3" s="3"/>
      <c r="I3" s="3"/>
      <c r="J3" s="3"/>
      <c r="K3" s="1139" t="s">
        <v>439</v>
      </c>
      <c r="L3" s="1140"/>
      <c r="M3" s="1140"/>
      <c r="N3" s="1140"/>
      <c r="O3" s="1140"/>
      <c r="P3" s="1140"/>
      <c r="Q3" s="1140"/>
      <c r="R3" s="1140"/>
      <c r="S3" s="1140"/>
      <c r="T3" s="1140"/>
      <c r="U3" s="1140"/>
      <c r="V3" s="1140"/>
      <c r="W3" s="1140"/>
      <c r="X3" s="1141"/>
      <c r="Y3" s="79"/>
    </row>
    <row r="4" spans="1:25" ht="15" customHeight="1" x14ac:dyDescent="0.3">
      <c r="A4" s="3"/>
      <c r="B4" s="594" t="str">
        <f>Overview!$B$7</f>
        <v>Grove Park Drive</v>
      </c>
      <c r="C4" s="3"/>
      <c r="D4" s="3"/>
      <c r="E4" s="3"/>
      <c r="F4" s="3"/>
      <c r="G4" s="3"/>
      <c r="H4" s="3"/>
      <c r="I4" s="3"/>
      <c r="J4" s="3"/>
      <c r="K4" s="1142"/>
      <c r="L4" s="1143"/>
      <c r="M4" s="1143"/>
      <c r="N4" s="1143"/>
      <c r="O4" s="1143"/>
      <c r="P4" s="1143"/>
      <c r="Q4" s="1143"/>
      <c r="R4" s="1143"/>
      <c r="S4" s="1143"/>
      <c r="T4" s="1143"/>
      <c r="U4" s="1143"/>
      <c r="V4" s="1143"/>
      <c r="W4" s="1143"/>
      <c r="X4" s="1144"/>
      <c r="Y4" s="79"/>
    </row>
    <row r="5" spans="1:25" ht="15" customHeight="1" thickBot="1" x14ac:dyDescent="0.35">
      <c r="A5" s="3"/>
      <c r="B5" s="594"/>
      <c r="C5" s="3"/>
      <c r="D5" s="3"/>
      <c r="E5" s="3"/>
      <c r="F5" s="3"/>
      <c r="G5" s="3"/>
      <c r="H5" s="3"/>
      <c r="I5" s="3"/>
      <c r="J5" s="3"/>
      <c r="K5" s="7"/>
      <c r="L5" s="7"/>
      <c r="M5" s="7"/>
      <c r="N5" s="7"/>
      <c r="O5" s="7"/>
      <c r="P5" s="7"/>
      <c r="Q5" s="7"/>
      <c r="R5" s="7"/>
      <c r="S5" s="7"/>
      <c r="T5" s="7"/>
      <c r="U5" s="7"/>
      <c r="V5" s="7"/>
      <c r="W5" s="7"/>
      <c r="X5" s="7"/>
      <c r="Y5" s="79"/>
    </row>
    <row r="6" spans="1:25" ht="15" customHeight="1" thickBot="1" x14ac:dyDescent="0.35">
      <c r="A6" s="3"/>
      <c r="B6" s="100" t="s">
        <v>16</v>
      </c>
      <c r="C6" s="7"/>
      <c r="D6" s="7"/>
      <c r="E6" s="7"/>
      <c r="F6" s="7"/>
      <c r="G6" s="7"/>
      <c r="H6" s="1028" t="s">
        <v>33</v>
      </c>
      <c r="I6" s="1029"/>
      <c r="J6" s="3"/>
      <c r="K6" s="1092" t="s">
        <v>169</v>
      </c>
      <c r="L6" s="1093"/>
      <c r="M6" s="1093"/>
      <c r="N6" s="1093"/>
      <c r="O6" s="1093"/>
      <c r="P6" s="1093"/>
      <c r="Q6" s="1093"/>
      <c r="R6" s="1093"/>
      <c r="S6" s="1093"/>
      <c r="T6" s="1093"/>
      <c r="U6" s="1093"/>
      <c r="V6" s="1093"/>
      <c r="W6" s="1093"/>
      <c r="X6" s="1094"/>
      <c r="Y6" s="79"/>
    </row>
    <row r="7" spans="1:25" ht="15" customHeight="1" thickBot="1" x14ac:dyDescent="0.35">
      <c r="A7" s="3"/>
      <c r="B7" s="288"/>
      <c r="C7" s="7"/>
      <c r="D7" s="7"/>
      <c r="E7" s="7"/>
      <c r="F7" s="7"/>
      <c r="G7" s="7"/>
      <c r="H7" s="1016"/>
      <c r="I7" s="1016"/>
      <c r="J7" s="3"/>
      <c r="K7" s="1089" t="s">
        <v>51</v>
      </c>
      <c r="L7" s="1090"/>
      <c r="M7" s="1090"/>
      <c r="N7" s="1090"/>
      <c r="O7" s="1091"/>
      <c r="P7" s="178" t="s">
        <v>54</v>
      </c>
      <c r="Q7" s="1092" t="s">
        <v>52</v>
      </c>
      <c r="R7" s="1145"/>
      <c r="S7" s="1149" t="s">
        <v>53</v>
      </c>
      <c r="T7" s="1093"/>
      <c r="U7" s="1145"/>
      <c r="V7" s="1149" t="s">
        <v>168</v>
      </c>
      <c r="W7" s="1093"/>
      <c r="X7" s="1094"/>
      <c r="Y7" s="79"/>
    </row>
    <row r="8" spans="1:25" ht="15" customHeight="1" x14ac:dyDescent="0.3">
      <c r="A8" s="3"/>
      <c r="B8" s="711" t="s">
        <v>104</v>
      </c>
      <c r="C8" s="7"/>
      <c r="D8" s="7"/>
      <c r="E8" s="7"/>
      <c r="F8" s="7"/>
      <c r="G8" s="7"/>
      <c r="H8" s="1016">
        <f>VLOOKUP(Overview!E26,'Lighting Data'!$B$9:$L$17,MATCH(H6,'Lighting Data'!$B$7:$L$7,0),FALSE)</f>
        <v>55</v>
      </c>
      <c r="I8" s="1016"/>
      <c r="J8" s="3"/>
      <c r="K8" s="1114" t="s">
        <v>167</v>
      </c>
      <c r="L8" s="1111"/>
      <c r="M8" s="1111"/>
      <c r="N8" s="1111"/>
      <c r="O8" s="1115"/>
      <c r="P8" s="177" t="s">
        <v>55</v>
      </c>
      <c r="Q8" s="1112">
        <f>('Scheme Entry - Baseline'!W46*1000)/H8*Overview!E29</f>
        <v>1636.3636363636363</v>
      </c>
      <c r="R8" s="1113"/>
      <c r="S8" s="1146">
        <v>2175</v>
      </c>
      <c r="T8" s="1147"/>
      <c r="U8" s="1148"/>
      <c r="V8" s="1169">
        <f>S8*Q8</f>
        <v>3559090.9090909087</v>
      </c>
      <c r="W8" s="1170"/>
      <c r="X8" s="1171"/>
      <c r="Y8" s="79"/>
    </row>
    <row r="9" spans="1:25" ht="15" customHeight="1" x14ac:dyDescent="0.3">
      <c r="A9" s="3"/>
      <c r="B9" s="288"/>
      <c r="C9" s="7"/>
      <c r="D9" s="7"/>
      <c r="E9" s="7"/>
      <c r="F9" s="7"/>
      <c r="G9" s="7"/>
      <c r="H9" s="1016"/>
      <c r="I9" s="1016"/>
      <c r="J9" s="3"/>
      <c r="K9" s="1095" t="s">
        <v>502</v>
      </c>
      <c r="L9" s="1096"/>
      <c r="M9" s="1096"/>
      <c r="N9" s="1096"/>
      <c r="O9" s="1097"/>
      <c r="P9" s="563" t="s">
        <v>55</v>
      </c>
      <c r="Q9" s="1101">
        <v>0</v>
      </c>
      <c r="R9" s="1102"/>
      <c r="S9" s="1098">
        <v>3000</v>
      </c>
      <c r="T9" s="1099"/>
      <c r="U9" s="1100"/>
      <c r="V9" s="1122">
        <f>S9*Q9</f>
        <v>0</v>
      </c>
      <c r="W9" s="1123"/>
      <c r="X9" s="1132"/>
      <c r="Y9" s="79"/>
    </row>
    <row r="10" spans="1:25" ht="15" customHeight="1" x14ac:dyDescent="0.3">
      <c r="A10" s="3"/>
      <c r="B10" s="100" t="s">
        <v>103</v>
      </c>
      <c r="C10" s="7"/>
      <c r="D10" s="7"/>
      <c r="E10" s="7"/>
      <c r="F10" s="7"/>
      <c r="G10" s="7"/>
      <c r="H10" s="1016">
        <f>VLOOKUP(Overview!E26,'Lighting Data'!B23:L31,MATCH(H6,'Lighting Data'!B21:L21,0),FALSE)</f>
        <v>119</v>
      </c>
      <c r="I10" s="1016"/>
      <c r="J10" s="3"/>
      <c r="K10" s="1095" t="s">
        <v>56</v>
      </c>
      <c r="L10" s="1096"/>
      <c r="M10" s="1096"/>
      <c r="N10" s="1096"/>
      <c r="O10" s="1097"/>
      <c r="P10" s="563" t="s">
        <v>55</v>
      </c>
      <c r="Q10" s="1103">
        <f>Q12</f>
        <v>45</v>
      </c>
      <c r="R10" s="1104"/>
      <c r="S10" s="1098">
        <v>2000</v>
      </c>
      <c r="T10" s="1099"/>
      <c r="U10" s="1100"/>
      <c r="V10" s="1122">
        <f t="shared" ref="V10:V19" si="0">S10*Q10</f>
        <v>90000</v>
      </c>
      <c r="W10" s="1123"/>
      <c r="X10" s="1132"/>
      <c r="Y10" s="79"/>
    </row>
    <row r="11" spans="1:25" ht="15" customHeight="1" x14ac:dyDescent="0.3">
      <c r="A11" s="114"/>
      <c r="B11" s="288"/>
      <c r="C11" s="7"/>
      <c r="D11" s="7"/>
      <c r="E11" s="7"/>
      <c r="F11" s="7"/>
      <c r="G11" s="7"/>
      <c r="H11" s="1016"/>
      <c r="I11" s="1016"/>
      <c r="J11" s="3"/>
      <c r="K11" s="1095" t="s">
        <v>358</v>
      </c>
      <c r="L11" s="1096"/>
      <c r="M11" s="1096"/>
      <c r="N11" s="1096"/>
      <c r="O11" s="1097"/>
      <c r="P11" s="563" t="s">
        <v>63</v>
      </c>
      <c r="Q11" s="1101">
        <f>('Scheme Entry - Baseline'!W46*1000)*Overview!E29</f>
        <v>90000</v>
      </c>
      <c r="R11" s="1102"/>
      <c r="S11" s="1098">
        <v>14</v>
      </c>
      <c r="T11" s="1099"/>
      <c r="U11" s="1100"/>
      <c r="V11" s="1122">
        <f t="shared" si="0"/>
        <v>1260000</v>
      </c>
      <c r="W11" s="1123"/>
      <c r="X11" s="1132"/>
      <c r="Y11" s="79"/>
    </row>
    <row r="12" spans="1:25" ht="15" customHeight="1" x14ac:dyDescent="0.3">
      <c r="A12" s="3"/>
      <c r="B12" s="100" t="s">
        <v>320</v>
      </c>
      <c r="C12" s="7"/>
      <c r="D12" s="7"/>
      <c r="E12" s="7"/>
      <c r="F12" s="7"/>
      <c r="G12" s="7"/>
      <c r="H12" s="1028">
        <v>1000</v>
      </c>
      <c r="I12" s="1029"/>
      <c r="J12" s="3"/>
      <c r="K12" s="1095" t="s">
        <v>57</v>
      </c>
      <c r="L12" s="1096"/>
      <c r="M12" s="1096"/>
      <c r="N12" s="1096"/>
      <c r="O12" s="1097"/>
      <c r="P12" s="563" t="s">
        <v>55</v>
      </c>
      <c r="Q12" s="1116">
        <f>('Scheme Entry - Baseline'!W46*1000)/'Sensitivity 2'!H12</f>
        <v>45</v>
      </c>
      <c r="R12" s="1117"/>
      <c r="S12" s="1098">
        <v>1200</v>
      </c>
      <c r="T12" s="1099"/>
      <c r="U12" s="1100"/>
      <c r="V12" s="1122">
        <f t="shared" si="0"/>
        <v>54000</v>
      </c>
      <c r="W12" s="1123"/>
      <c r="X12" s="1132"/>
      <c r="Y12" s="79"/>
    </row>
    <row r="13" spans="1:25" ht="15" customHeight="1" x14ac:dyDescent="0.3">
      <c r="A13" s="3"/>
      <c r="B13" s="7"/>
      <c r="C13" s="7"/>
      <c r="D13" s="7"/>
      <c r="E13" s="7"/>
      <c r="F13" s="7"/>
      <c r="G13" s="7"/>
      <c r="H13" s="1016"/>
      <c r="I13" s="1016"/>
      <c r="J13" s="3"/>
      <c r="K13" s="1095" t="s">
        <v>58</v>
      </c>
      <c r="L13" s="1096"/>
      <c r="M13" s="1096"/>
      <c r="N13" s="1096"/>
      <c r="O13" s="1097"/>
      <c r="P13" s="563" t="s">
        <v>55</v>
      </c>
      <c r="Q13" s="1103">
        <f>Q8</f>
        <v>1636.3636363636363</v>
      </c>
      <c r="R13" s="1102"/>
      <c r="S13" s="1098">
        <v>39</v>
      </c>
      <c r="T13" s="1099"/>
      <c r="U13" s="1100"/>
      <c r="V13" s="1122">
        <f t="shared" si="0"/>
        <v>63818.181818181816</v>
      </c>
      <c r="W13" s="1123"/>
      <c r="X13" s="1132"/>
      <c r="Y13" s="79"/>
    </row>
    <row r="14" spans="1:25" ht="15" customHeight="1" x14ac:dyDescent="0.25">
      <c r="A14" s="3"/>
      <c r="B14" s="536" t="s">
        <v>17</v>
      </c>
      <c r="C14" s="7"/>
      <c r="D14" s="7"/>
      <c r="E14" s="7"/>
      <c r="F14" s="7"/>
      <c r="G14" s="7"/>
      <c r="H14" s="1028" t="s">
        <v>294</v>
      </c>
      <c r="I14" s="1029"/>
      <c r="J14" s="3"/>
      <c r="K14" s="1095" t="s">
        <v>59</v>
      </c>
      <c r="L14" s="1096"/>
      <c r="M14" s="1096"/>
      <c r="N14" s="1096"/>
      <c r="O14" s="1097"/>
      <c r="P14" s="563" t="s">
        <v>55</v>
      </c>
      <c r="Q14" s="1103">
        <f>Q12*5</f>
        <v>225</v>
      </c>
      <c r="R14" s="1104"/>
      <c r="S14" s="1098">
        <v>55</v>
      </c>
      <c r="T14" s="1099"/>
      <c r="U14" s="1100"/>
      <c r="V14" s="1122">
        <f t="shared" si="0"/>
        <v>12375</v>
      </c>
      <c r="W14" s="1123"/>
      <c r="X14" s="1132"/>
      <c r="Y14" s="79"/>
    </row>
    <row r="15" spans="1:25" ht="15" customHeight="1" x14ac:dyDescent="0.25">
      <c r="A15" s="114"/>
      <c r="B15" s="584"/>
      <c r="C15" s="7"/>
      <c r="D15" s="7"/>
      <c r="E15" s="7"/>
      <c r="F15" s="7"/>
      <c r="G15" s="7"/>
      <c r="H15" s="1016"/>
      <c r="I15" s="1016"/>
      <c r="J15" s="3"/>
      <c r="K15" s="1095" t="s">
        <v>503</v>
      </c>
      <c r="L15" s="1096"/>
      <c r="M15" s="1096"/>
      <c r="N15" s="1096"/>
      <c r="O15" s="1097"/>
      <c r="P15" s="563" t="s">
        <v>55</v>
      </c>
      <c r="Q15" s="1103">
        <f>Q12*2</f>
        <v>90</v>
      </c>
      <c r="R15" s="1104"/>
      <c r="S15" s="1098">
        <v>750</v>
      </c>
      <c r="T15" s="1099"/>
      <c r="U15" s="1100"/>
      <c r="V15" s="1122">
        <f t="shared" si="0"/>
        <v>67500</v>
      </c>
      <c r="W15" s="1123"/>
      <c r="X15" s="1132"/>
      <c r="Y15" s="79"/>
    </row>
    <row r="16" spans="1:25" ht="15" customHeight="1" x14ac:dyDescent="0.25">
      <c r="A16" s="114"/>
      <c r="B16" s="607" t="s">
        <v>298</v>
      </c>
      <c r="C16" s="539"/>
      <c r="D16" s="539"/>
      <c r="E16" s="539"/>
      <c r="F16" s="7"/>
      <c r="G16" s="7"/>
      <c r="H16" s="1120">
        <v>0.28000000000000003</v>
      </c>
      <c r="I16" s="1121"/>
      <c r="K16" s="1095" t="s">
        <v>170</v>
      </c>
      <c r="L16" s="1096"/>
      <c r="M16" s="1096"/>
      <c r="N16" s="1096"/>
      <c r="O16" s="1097"/>
      <c r="P16" s="563" t="s">
        <v>55</v>
      </c>
      <c r="Q16" s="1101">
        <f>Overview!H29*4*2</f>
        <v>40</v>
      </c>
      <c r="R16" s="1102"/>
      <c r="S16" s="1098">
        <v>750</v>
      </c>
      <c r="T16" s="1099"/>
      <c r="U16" s="1100"/>
      <c r="V16" s="1122">
        <f t="shared" si="0"/>
        <v>30000</v>
      </c>
      <c r="W16" s="1123"/>
      <c r="X16" s="1132"/>
      <c r="Y16" s="79"/>
    </row>
    <row r="17" spans="1:25" ht="15" customHeight="1" x14ac:dyDescent="0.3">
      <c r="A17" s="3"/>
      <c r="B17" s="709"/>
      <c r="C17" s="7"/>
      <c r="D17" s="7"/>
      <c r="E17" s="7"/>
      <c r="F17" s="7"/>
      <c r="G17" s="7"/>
      <c r="H17" s="1016"/>
      <c r="I17" s="1016"/>
      <c r="J17" s="3"/>
      <c r="K17" s="1095" t="s">
        <v>357</v>
      </c>
      <c r="L17" s="1096"/>
      <c r="M17" s="1096"/>
      <c r="N17" s="1096"/>
      <c r="O17" s="1097"/>
      <c r="P17" s="563" t="s">
        <v>63</v>
      </c>
      <c r="Q17" s="1103">
        <f>('Scheme Entry - Baseline'!W46*1000)*Overview!E29</f>
        <v>90000</v>
      </c>
      <c r="R17" s="1104"/>
      <c r="S17" s="1098">
        <v>9</v>
      </c>
      <c r="T17" s="1099"/>
      <c r="U17" s="1100"/>
      <c r="V17" s="1122">
        <f t="shared" si="0"/>
        <v>810000</v>
      </c>
      <c r="W17" s="1123"/>
      <c r="X17" s="1132"/>
      <c r="Y17" s="79"/>
    </row>
    <row r="18" spans="1:25" ht="15" customHeight="1" x14ac:dyDescent="0.3">
      <c r="A18" s="3"/>
      <c r="B18" s="709" t="s">
        <v>41</v>
      </c>
      <c r="C18" s="7"/>
      <c r="D18" s="7"/>
      <c r="E18" s="7"/>
      <c r="F18" s="7"/>
      <c r="G18" s="7"/>
      <c r="H18" s="1120">
        <v>0.1</v>
      </c>
      <c r="I18" s="1121"/>
      <c r="J18" s="3"/>
      <c r="K18" s="1095" t="s">
        <v>499</v>
      </c>
      <c r="L18" s="1096"/>
      <c r="M18" s="1096"/>
      <c r="N18" s="1096"/>
      <c r="O18" s="1097"/>
      <c r="P18" s="563" t="s">
        <v>55</v>
      </c>
      <c r="Q18" s="1103">
        <f>Q12</f>
        <v>45</v>
      </c>
      <c r="R18" s="1102"/>
      <c r="S18" s="1098">
        <v>1750</v>
      </c>
      <c r="T18" s="1099"/>
      <c r="U18" s="1100"/>
      <c r="V18" s="1122">
        <f t="shared" si="0"/>
        <v>78750</v>
      </c>
      <c r="W18" s="1123"/>
      <c r="X18" s="1132"/>
      <c r="Y18" s="79"/>
    </row>
    <row r="19" spans="1:25" ht="15" customHeight="1" x14ac:dyDescent="0.3">
      <c r="A19" s="3"/>
      <c r="B19" s="7"/>
      <c r="C19" s="709"/>
      <c r="D19" s="709"/>
      <c r="E19" s="709"/>
      <c r="F19" s="709"/>
      <c r="G19" s="709"/>
      <c r="H19" s="1016"/>
      <c r="I19" s="1016"/>
      <c r="J19" s="200"/>
      <c r="K19" s="1095" t="s">
        <v>60</v>
      </c>
      <c r="L19" s="1096"/>
      <c r="M19" s="1096"/>
      <c r="N19" s="1096"/>
      <c r="O19" s="1097"/>
      <c r="P19" s="563" t="s">
        <v>55</v>
      </c>
      <c r="Q19" s="1103">
        <f>Q12</f>
        <v>45</v>
      </c>
      <c r="R19" s="1104"/>
      <c r="S19" s="1098">
        <v>6250</v>
      </c>
      <c r="T19" s="1099"/>
      <c r="U19" s="1100"/>
      <c r="V19" s="1122">
        <f t="shared" si="0"/>
        <v>281250</v>
      </c>
      <c r="W19" s="1123"/>
      <c r="X19" s="1132"/>
      <c r="Y19" s="79"/>
    </row>
    <row r="20" spans="1:25" ht="15" customHeight="1" thickBot="1" x14ac:dyDescent="0.35">
      <c r="A20" s="3"/>
      <c r="B20" s="7" t="s">
        <v>137</v>
      </c>
      <c r="C20" s="709"/>
      <c r="D20" s="709"/>
      <c r="E20" s="709"/>
      <c r="F20" s="709"/>
      <c r="G20" s="709"/>
      <c r="H20" s="1028" t="s">
        <v>135</v>
      </c>
      <c r="I20" s="1029"/>
      <c r="J20" s="200"/>
      <c r="K20" s="1108" t="s">
        <v>166</v>
      </c>
      <c r="L20" s="1109"/>
      <c r="M20" s="1109"/>
      <c r="N20" s="1109"/>
      <c r="O20" s="1110"/>
      <c r="P20" s="562" t="s">
        <v>55</v>
      </c>
      <c r="Q20" s="1129">
        <v>0</v>
      </c>
      <c r="R20" s="1130"/>
      <c r="S20" s="1133">
        <v>0</v>
      </c>
      <c r="T20" s="1134"/>
      <c r="U20" s="1135"/>
      <c r="V20" s="1136">
        <f>S20*Q20</f>
        <v>0</v>
      </c>
      <c r="W20" s="1137"/>
      <c r="X20" s="1138"/>
      <c r="Y20" s="79"/>
    </row>
    <row r="21" spans="1:25" ht="15" customHeight="1" x14ac:dyDescent="0.3">
      <c r="A21" s="3"/>
      <c r="B21" s="709"/>
      <c r="C21" s="709"/>
      <c r="D21" s="709"/>
      <c r="E21" s="709"/>
      <c r="F21" s="709"/>
      <c r="G21" s="709"/>
      <c r="H21" s="709"/>
      <c r="I21" s="709"/>
      <c r="J21" s="200"/>
      <c r="K21" s="1111"/>
      <c r="L21" s="1111"/>
      <c r="M21" s="1111"/>
      <c r="N21" s="1111"/>
      <c r="O21" s="1111"/>
      <c r="P21" s="565"/>
      <c r="Q21" s="1051" t="s">
        <v>142</v>
      </c>
      <c r="R21" s="1051"/>
      <c r="S21" s="1051"/>
      <c r="T21" s="1051"/>
      <c r="U21" s="1051"/>
      <c r="V21" s="1124">
        <f>SUM(V8:V20)</f>
        <v>6306784.0909090899</v>
      </c>
      <c r="W21" s="1124"/>
      <c r="X21" s="1124"/>
      <c r="Y21" s="79"/>
    </row>
    <row r="22" spans="1:25" ht="15" customHeight="1" x14ac:dyDescent="0.3">
      <c r="A22" s="3"/>
      <c r="B22" s="7" t="s">
        <v>299</v>
      </c>
      <c r="C22" s="709"/>
      <c r="D22" s="709"/>
      <c r="E22" s="709"/>
      <c r="F22" s="709"/>
      <c r="G22" s="709"/>
      <c r="H22" s="1118">
        <v>1250</v>
      </c>
      <c r="I22" s="1119"/>
      <c r="J22" s="200"/>
      <c r="K22" s="1154" t="s">
        <v>442</v>
      </c>
      <c r="L22" s="1155"/>
      <c r="M22" s="1155"/>
      <c r="N22" s="1158">
        <f>'Scheme Entry - Baseline'!I7</f>
        <v>21.350369370165694</v>
      </c>
      <c r="O22" s="1159"/>
      <c r="P22" s="564"/>
      <c r="Q22" s="1052" t="s">
        <v>351</v>
      </c>
      <c r="R22" s="1052"/>
      <c r="S22" s="1052"/>
      <c r="T22" s="1052"/>
      <c r="U22" s="618">
        <v>10</v>
      </c>
      <c r="V22" s="1122">
        <f>V21*U22%</f>
        <v>630678.40909090906</v>
      </c>
      <c r="W22" s="1123"/>
      <c r="X22" s="1123"/>
      <c r="Y22" s="79"/>
    </row>
    <row r="23" spans="1:25" ht="15" customHeight="1" x14ac:dyDescent="0.3">
      <c r="A23" s="3"/>
      <c r="B23" s="710"/>
      <c r="C23" s="710"/>
      <c r="D23" s="710"/>
      <c r="E23" s="710"/>
      <c r="F23" s="710"/>
      <c r="G23" s="710"/>
      <c r="H23" s="710"/>
      <c r="I23" s="710"/>
      <c r="J23" s="708"/>
      <c r="K23" s="1156"/>
      <c r="L23" s="1157"/>
      <c r="M23" s="1157"/>
      <c r="N23" s="1160"/>
      <c r="O23" s="1161"/>
      <c r="P23" s="7"/>
      <c r="Q23" s="1052" t="s">
        <v>352</v>
      </c>
      <c r="R23" s="1052"/>
      <c r="S23" s="1052"/>
      <c r="T23" s="1052"/>
      <c r="U23" s="618">
        <v>7.5</v>
      </c>
      <c r="V23" s="1122">
        <f>V21*U23%</f>
        <v>473008.80681818171</v>
      </c>
      <c r="W23" s="1123"/>
      <c r="X23" s="1123"/>
      <c r="Y23" s="79"/>
    </row>
    <row r="24" spans="1:25" ht="15" customHeight="1" x14ac:dyDescent="0.3">
      <c r="A24" s="3"/>
      <c r="B24" s="7" t="s">
        <v>317</v>
      </c>
      <c r="C24" s="710"/>
      <c r="D24" s="710"/>
      <c r="E24" s="710"/>
      <c r="F24" s="710"/>
      <c r="G24" s="710"/>
      <c r="H24" s="1118">
        <v>0</v>
      </c>
      <c r="I24" s="1119"/>
      <c r="J24" s="708"/>
      <c r="K24" s="1156"/>
      <c r="L24" s="1157"/>
      <c r="M24" s="1157"/>
      <c r="N24" s="1160"/>
      <c r="O24" s="1161"/>
      <c r="P24" s="7"/>
      <c r="Q24" s="1053" t="s">
        <v>142</v>
      </c>
      <c r="R24" s="1053"/>
      <c r="S24" s="1053"/>
      <c r="T24" s="1053"/>
      <c r="U24" s="1053"/>
      <c r="V24" s="1128">
        <f>SUM(V22:V23)</f>
        <v>1103687.2159090908</v>
      </c>
      <c r="W24" s="1128"/>
      <c r="X24" s="1128"/>
      <c r="Y24" s="79"/>
    </row>
    <row r="25" spans="1:25" ht="15" customHeight="1" x14ac:dyDescent="0.3">
      <c r="A25" s="3"/>
      <c r="B25" s="710"/>
      <c r="C25" s="710"/>
      <c r="D25" s="710"/>
      <c r="E25" s="710"/>
      <c r="F25" s="710"/>
      <c r="G25" s="710"/>
      <c r="H25" s="710"/>
      <c r="I25" s="710"/>
      <c r="J25" s="708"/>
      <c r="K25" s="1154" t="s">
        <v>504</v>
      </c>
      <c r="L25" s="1155"/>
      <c r="M25" s="1155"/>
      <c r="N25" s="1158">
        <f>IF(H14="Central",HLOOKUP('Scheme Entry - Baseline'!I21,'NtpM Capitalisation'!AE52:AQ53,2),IF(H14="Low",HLOOKUP('Scheme Entry - Baseline'!I21,'NtpM Capitalisation'!R52:AD53,2),IF(H14="High",HLOOKUP('Scheme Entry - Baseline'!I21,'NtpM Capitalisation'!AR52:BD53,2))))</f>
        <v>34.30573746000001</v>
      </c>
      <c r="O25" s="1159"/>
      <c r="P25" s="1053" t="s">
        <v>505</v>
      </c>
      <c r="Q25" s="1107"/>
      <c r="R25" s="1107"/>
      <c r="S25" s="1107"/>
      <c r="T25" s="1107"/>
      <c r="U25" s="617">
        <v>12.5</v>
      </c>
      <c r="V25" s="1125">
        <f>(V16+V21)*U25%</f>
        <v>792098.01136363624</v>
      </c>
      <c r="W25" s="1126"/>
      <c r="X25" s="1126"/>
      <c r="Y25" s="79"/>
    </row>
    <row r="26" spans="1:25" ht="15" customHeight="1" thickBot="1" x14ac:dyDescent="0.35">
      <c r="A26" s="3"/>
      <c r="B26" s="711" t="s">
        <v>171</v>
      </c>
      <c r="C26" s="710"/>
      <c r="D26" s="710"/>
      <c r="E26" s="710"/>
      <c r="F26" s="710"/>
      <c r="G26" s="710"/>
      <c r="H26" s="1118">
        <v>0.13</v>
      </c>
      <c r="I26" s="1119"/>
      <c r="J26" s="708"/>
      <c r="K26" s="1156"/>
      <c r="L26" s="1157"/>
      <c r="M26" s="1157"/>
      <c r="N26" s="1160"/>
      <c r="O26" s="1161"/>
      <c r="P26" s="75"/>
      <c r="Q26" s="1153" t="s">
        <v>440</v>
      </c>
      <c r="R26" s="1153"/>
      <c r="S26" s="1153"/>
      <c r="T26" s="1153"/>
      <c r="U26" s="1153"/>
      <c r="V26" s="1127">
        <f>V21+V24+V25</f>
        <v>8202569.3181818165</v>
      </c>
      <c r="W26" s="1127"/>
      <c r="X26" s="1127"/>
      <c r="Y26" s="79"/>
    </row>
    <row r="27" spans="1:25" ht="15" customHeight="1" thickBot="1" x14ac:dyDescent="0.35">
      <c r="A27" s="3"/>
      <c r="B27" s="710"/>
      <c r="C27" s="710"/>
      <c r="D27" s="710"/>
      <c r="E27" s="710"/>
      <c r="F27" s="710"/>
      <c r="G27" s="710"/>
      <c r="H27" s="710"/>
      <c r="I27" s="710"/>
      <c r="J27" s="708"/>
      <c r="K27" s="1162"/>
      <c r="L27" s="1163"/>
      <c r="M27" s="1163"/>
      <c r="N27" s="1164"/>
      <c r="O27" s="1165"/>
      <c r="P27" s="3"/>
      <c r="Q27" s="3"/>
      <c r="R27" s="3"/>
      <c r="S27" s="3"/>
      <c r="T27" s="3"/>
      <c r="U27" s="3"/>
      <c r="V27" s="3"/>
      <c r="W27" s="3"/>
      <c r="X27" s="3"/>
      <c r="Y27" s="79"/>
    </row>
    <row r="28" spans="1:25" ht="15" customHeight="1" x14ac:dyDescent="0.3">
      <c r="A28" s="3"/>
      <c r="B28" s="7" t="s">
        <v>438</v>
      </c>
      <c r="C28" s="710"/>
      <c r="D28" s="710"/>
      <c r="E28" s="710"/>
      <c r="F28" s="710"/>
      <c r="G28" s="710"/>
      <c r="H28" s="1118">
        <v>25</v>
      </c>
      <c r="I28" s="1119"/>
      <c r="J28" s="708"/>
      <c r="K28" s="1156" t="s">
        <v>443</v>
      </c>
      <c r="L28" s="1157"/>
      <c r="M28" s="1157"/>
      <c r="N28" s="1160">
        <f>IF(H14="Central",HLOOKUP('Scheme Entry - Baseline'!I21,'NtpM Capitalisation'!BY52:CK53,2),IF(H14="Low",HLOOKUP('Scheme Entry - Baseline'!I21,'NtpM Capitalisation'!BL52:BX53,2),IF(H14="High",HLOOKUP('Scheme Entry - Baseline'!I21,'NtpM Capitalisation'!CM52:CY53,2))))</f>
        <v>18.798737857810014</v>
      </c>
      <c r="O28" s="1161"/>
      <c r="P28" s="712"/>
      <c r="Q28" s="1168" t="s">
        <v>69</v>
      </c>
      <c r="R28" s="1168"/>
      <c r="S28" s="1168"/>
      <c r="T28" s="1168"/>
      <c r="U28" s="1168"/>
      <c r="V28" s="1131">
        <f>H28*Q8</f>
        <v>40909.090909090904</v>
      </c>
      <c r="W28" s="1131"/>
      <c r="X28" s="1131"/>
      <c r="Y28" s="79"/>
    </row>
    <row r="29" spans="1:25" ht="15" customHeight="1" x14ac:dyDescent="0.3">
      <c r="A29" s="3"/>
      <c r="B29" s="7"/>
      <c r="C29" s="7"/>
      <c r="D29" s="7"/>
      <c r="E29" s="7"/>
      <c r="F29" s="7"/>
      <c r="G29" s="7"/>
      <c r="H29" s="7"/>
      <c r="I29" s="7"/>
      <c r="J29" s="3"/>
      <c r="K29" s="1156"/>
      <c r="L29" s="1157"/>
      <c r="M29" s="1157"/>
      <c r="N29" s="1160"/>
      <c r="O29" s="1161"/>
      <c r="P29" s="79"/>
      <c r="Q29" s="1167" t="s">
        <v>317</v>
      </c>
      <c r="R29" s="1167"/>
      <c r="S29" s="1167"/>
      <c r="T29" s="1167"/>
      <c r="U29" s="1167"/>
      <c r="V29" s="1166">
        <f>(H24*0.54*H30)/1000</f>
        <v>0</v>
      </c>
      <c r="W29" s="1166"/>
      <c r="X29" s="1166"/>
      <c r="Y29" s="79"/>
    </row>
    <row r="30" spans="1:25" ht="15" customHeight="1" x14ac:dyDescent="0.3">
      <c r="A30" s="3"/>
      <c r="B30" s="7" t="s">
        <v>318</v>
      </c>
      <c r="C30" s="7"/>
      <c r="D30" s="7"/>
      <c r="E30" s="7"/>
      <c r="F30" s="7"/>
      <c r="G30" s="7"/>
      <c r="H30" s="1105">
        <f>VLOOKUP($H$20,'Energy Sensitivy 1'!C18:J31,3,FALSE)</f>
        <v>563383.92857142864</v>
      </c>
      <c r="I30" s="1106"/>
      <c r="J30" s="3"/>
      <c r="K30" s="1162"/>
      <c r="L30" s="1163"/>
      <c r="M30" s="1163"/>
      <c r="N30" s="1164"/>
      <c r="O30" s="1165"/>
      <c r="P30" s="79"/>
      <c r="Q30" s="1167" t="s">
        <v>131</v>
      </c>
      <c r="R30" s="1167"/>
      <c r="S30" s="1167"/>
      <c r="T30" s="1167"/>
      <c r="U30" s="1167"/>
      <c r="V30" s="1166">
        <f>'Energy Sensitivy 2'!M15</f>
        <v>115936.36079697749</v>
      </c>
      <c r="W30" s="1166"/>
      <c r="X30" s="1166"/>
      <c r="Y30" s="79"/>
    </row>
    <row r="31" spans="1:25" ht="15" customHeight="1" thickBot="1" x14ac:dyDescent="0.35">
      <c r="A31" s="3"/>
      <c r="B31" s="3"/>
      <c r="C31" s="3"/>
      <c r="D31" s="3"/>
      <c r="E31" s="3"/>
      <c r="F31" s="3"/>
      <c r="G31" s="3"/>
      <c r="H31" s="3"/>
      <c r="I31" s="3"/>
      <c r="J31" s="3"/>
      <c r="K31" s="75"/>
      <c r="L31" s="75"/>
      <c r="M31" s="75"/>
      <c r="N31" s="75"/>
      <c r="O31" s="75"/>
      <c r="P31" s="75"/>
      <c r="Q31" s="1153" t="s">
        <v>441</v>
      </c>
      <c r="R31" s="1153"/>
      <c r="S31" s="1153"/>
      <c r="T31" s="1153"/>
      <c r="U31" s="1153"/>
      <c r="V31" s="1127">
        <f>SUM(V28:V30)</f>
        <v>156845.45170606839</v>
      </c>
      <c r="W31" s="1127"/>
      <c r="X31" s="1127"/>
      <c r="Y31" s="79"/>
    </row>
    <row r="32" spans="1:25" ht="15" customHeight="1" x14ac:dyDescent="0.25">
      <c r="A32" s="15"/>
      <c r="B32" s="807" t="s">
        <v>454</v>
      </c>
      <c r="C32" s="590"/>
      <c r="D32" s="590"/>
      <c r="E32" s="590"/>
      <c r="F32" s="590"/>
      <c r="G32" s="808"/>
      <c r="H32" s="1038">
        <v>8</v>
      </c>
      <c r="I32" s="1039"/>
      <c r="J32" s="15"/>
      <c r="K32" s="15"/>
      <c r="L32" s="15"/>
      <c r="M32" s="15"/>
      <c r="N32" s="15"/>
      <c r="O32" s="15"/>
      <c r="P32" s="15"/>
      <c r="Q32" s="15"/>
      <c r="R32" s="15"/>
      <c r="S32" s="15"/>
      <c r="T32" s="15"/>
      <c r="U32" s="15"/>
      <c r="V32" s="15"/>
      <c r="W32" s="15"/>
      <c r="X32" s="15"/>
      <c r="Y32" s="15"/>
    </row>
  </sheetData>
  <mergeCells count="106">
    <mergeCell ref="H32:I32"/>
    <mergeCell ref="Q31:U31"/>
    <mergeCell ref="V31:X31"/>
    <mergeCell ref="H28:I28"/>
    <mergeCell ref="K28:M30"/>
    <mergeCell ref="N28:O30"/>
    <mergeCell ref="Q28:U28"/>
    <mergeCell ref="V28:X28"/>
    <mergeCell ref="Q29:U29"/>
    <mergeCell ref="V29:X29"/>
    <mergeCell ref="H30:I30"/>
    <mergeCell ref="Q30:U30"/>
    <mergeCell ref="V30:X30"/>
    <mergeCell ref="K25:M27"/>
    <mergeCell ref="N25:O27"/>
    <mergeCell ref="P25:T25"/>
    <mergeCell ref="V25:X25"/>
    <mergeCell ref="H26:I26"/>
    <mergeCell ref="Q26:U26"/>
    <mergeCell ref="V26:X26"/>
    <mergeCell ref="H22:I22"/>
    <mergeCell ref="K22:M24"/>
    <mergeCell ref="N22:O24"/>
    <mergeCell ref="Q22:T22"/>
    <mergeCell ref="V22:X22"/>
    <mergeCell ref="Q23:T23"/>
    <mergeCell ref="V23:X23"/>
    <mergeCell ref="H24:I24"/>
    <mergeCell ref="Q24:U24"/>
    <mergeCell ref="V24:X24"/>
    <mergeCell ref="K21:O21"/>
    <mergeCell ref="Q21:U21"/>
    <mergeCell ref="V21:X21"/>
    <mergeCell ref="H18:I18"/>
    <mergeCell ref="K18:O18"/>
    <mergeCell ref="Q18:R18"/>
    <mergeCell ref="S18:U18"/>
    <mergeCell ref="V18:X18"/>
    <mergeCell ref="H19:I19"/>
    <mergeCell ref="K19:O19"/>
    <mergeCell ref="Q19:R19"/>
    <mergeCell ref="S19:U19"/>
    <mergeCell ref="V19:X19"/>
    <mergeCell ref="H17:I17"/>
    <mergeCell ref="K17:O17"/>
    <mergeCell ref="Q17:R17"/>
    <mergeCell ref="S17:U17"/>
    <mergeCell ref="V17:X17"/>
    <mergeCell ref="H20:I20"/>
    <mergeCell ref="K20:O20"/>
    <mergeCell ref="Q20:R20"/>
    <mergeCell ref="S20:U20"/>
    <mergeCell ref="V20:X20"/>
    <mergeCell ref="H15:I15"/>
    <mergeCell ref="K15:O15"/>
    <mergeCell ref="Q15:R15"/>
    <mergeCell ref="S15:U15"/>
    <mergeCell ref="V15:X15"/>
    <mergeCell ref="H16:I16"/>
    <mergeCell ref="K16:O16"/>
    <mergeCell ref="Q16:R16"/>
    <mergeCell ref="S16:U16"/>
    <mergeCell ref="V16:X16"/>
    <mergeCell ref="H13:I13"/>
    <mergeCell ref="K13:O13"/>
    <mergeCell ref="Q13:R13"/>
    <mergeCell ref="S13:U13"/>
    <mergeCell ref="V13:X13"/>
    <mergeCell ref="H14:I14"/>
    <mergeCell ref="K14:O14"/>
    <mergeCell ref="Q14:R14"/>
    <mergeCell ref="S14:U14"/>
    <mergeCell ref="V14:X14"/>
    <mergeCell ref="H11:I11"/>
    <mergeCell ref="K11:O11"/>
    <mergeCell ref="Q11:R11"/>
    <mergeCell ref="S11:U11"/>
    <mergeCell ref="V11:X11"/>
    <mergeCell ref="H12:I12"/>
    <mergeCell ref="K12:O12"/>
    <mergeCell ref="Q12:R12"/>
    <mergeCell ref="S12:U12"/>
    <mergeCell ref="V12:X12"/>
    <mergeCell ref="H9:I9"/>
    <mergeCell ref="K9:O9"/>
    <mergeCell ref="Q9:R9"/>
    <mergeCell ref="S9:U9"/>
    <mergeCell ref="V9:X9"/>
    <mergeCell ref="H10:I10"/>
    <mergeCell ref="K10:O10"/>
    <mergeCell ref="Q10:R10"/>
    <mergeCell ref="S10:U10"/>
    <mergeCell ref="V10:X10"/>
    <mergeCell ref="K3:X4"/>
    <mergeCell ref="H6:I6"/>
    <mergeCell ref="K6:X6"/>
    <mergeCell ref="H7:I7"/>
    <mergeCell ref="K7:O7"/>
    <mergeCell ref="Q7:R7"/>
    <mergeCell ref="S7:U7"/>
    <mergeCell ref="V7:X7"/>
    <mergeCell ref="H8:I8"/>
    <mergeCell ref="K8:O8"/>
    <mergeCell ref="Q8:R8"/>
    <mergeCell ref="S8:U8"/>
    <mergeCell ref="V8:X8"/>
  </mergeCells>
  <dataValidations disablePrompts="1" count="8">
    <dataValidation type="list" allowBlank="1" showInputMessage="1" showErrorMessage="1" sqref="H14">
      <formula1>"Central, Low, High"</formula1>
    </dataValidation>
    <dataValidation type="list" allowBlank="1" showInputMessage="1" showErrorMessage="1" sqref="H6:I6">
      <formula1>"C0,C1,C2,C3,C4,C5,M1,M2,M3,M4,M5,M6"</formula1>
    </dataValidation>
    <dataValidation type="list" allowBlank="1" showInputMessage="1" showErrorMessage="1" sqref="H20:I20">
      <formula1>"Profile 1, Profile 2A,Profile 2B, Profile 2C, Profile 3A, Profile 3B, Profile 3C, Profile 4A, Profile 4B, Profile 4C, Profile 4D, PNSO"</formula1>
    </dataValidation>
    <dataValidation type="list" allowBlank="1" showInputMessage="1" showErrorMessage="1" sqref="Q20">
      <formula1>"0,1"</formula1>
    </dataValidation>
    <dataValidation allowBlank="1" showInputMessage="1" showErrorMessage="1" prompt="6° 17' 40.1424''" sqref="JH65384 TD65384 ACZ65384 AMV65384 AWR65384 BGN65384 BQJ65384 CAF65384 CKB65384 CTX65384 DDT65384 DNP65384 DXL65384 EHH65384 ERD65384 FAZ65384 FKV65384 FUR65384 GEN65384 GOJ65384 GYF65384 HIB65384 HRX65384 IBT65384 ILP65384 IVL65384 JFH65384 JPD65384 JYZ65384 KIV65384 KSR65384 LCN65384 LMJ65384 LWF65384 MGB65384 MPX65384 MZT65384 NJP65384 NTL65384 ODH65384 OND65384 OWZ65384 PGV65384 PQR65384 QAN65384 QKJ65384 QUF65384 REB65384 RNX65384 RXT65384 SHP65384 SRL65384 TBH65384 TLD65384 TUZ65384 UEV65384 UOR65384 UYN65384 VIJ65384 VSF65384 WCB65384 WLX65384 WVT65384 JH130920 TD130920 ACZ130920 AMV130920 AWR130920 BGN130920 BQJ130920 CAF130920 CKB130920 CTX130920 DDT130920 DNP130920 DXL130920 EHH130920 ERD130920 FAZ130920 FKV130920 FUR130920 GEN130920 GOJ130920 GYF130920 HIB130920 HRX130920 IBT130920 ILP130920 IVL130920 JFH130920 JPD130920 JYZ130920 KIV130920 KSR130920 LCN130920 LMJ130920 LWF130920 MGB130920 MPX130920 MZT130920 NJP130920 NTL130920 ODH130920 OND130920 OWZ130920 PGV130920 PQR130920 QAN130920 QKJ130920 QUF130920 REB130920 RNX130920 RXT130920 SHP130920 SRL130920 TBH130920 TLD130920 TUZ130920 UEV130920 UOR130920 UYN130920 VIJ130920 VSF130920 WCB130920 WLX130920 WVT130920 JH196456 TD196456 ACZ196456 AMV196456 AWR196456 BGN196456 BQJ196456 CAF196456 CKB196456 CTX196456 DDT196456 DNP196456 DXL196456 EHH196456 ERD196456 FAZ196456 FKV196456 FUR196456 GEN196456 GOJ196456 GYF196456 HIB196456 HRX196456 IBT196456 ILP196456 IVL196456 JFH196456 JPD196456 JYZ196456 KIV196456 KSR196456 LCN196456 LMJ196456 LWF196456 MGB196456 MPX196456 MZT196456 NJP196456 NTL196456 ODH196456 OND196456 OWZ196456 PGV196456 PQR196456 QAN196456 QKJ196456 QUF196456 REB196456 RNX196456 RXT196456 SHP196456 SRL196456 TBH196456 TLD196456 TUZ196456 UEV196456 UOR196456 UYN196456 VIJ196456 VSF196456 WCB196456 WLX196456 WVT196456 JH261992 TD261992 ACZ261992 AMV261992 AWR261992 BGN261992 BQJ261992 CAF261992 CKB261992 CTX261992 DDT261992 DNP261992 DXL261992 EHH261992 ERD261992 FAZ261992 FKV261992 FUR261992 GEN261992 GOJ261992 GYF261992 HIB261992 HRX261992 IBT261992 ILP261992 IVL261992 JFH261992 JPD261992 JYZ261992 KIV261992 KSR261992 LCN261992 LMJ261992 LWF261992 MGB261992 MPX261992 MZT261992 NJP261992 NTL261992 ODH261992 OND261992 OWZ261992 PGV261992 PQR261992 QAN261992 QKJ261992 QUF261992 REB261992 RNX261992 RXT261992 SHP261992 SRL261992 TBH261992 TLD261992 TUZ261992 UEV261992 UOR261992 UYN261992 VIJ261992 VSF261992 WCB261992 WLX261992 WVT261992 JH327528 TD327528 ACZ327528 AMV327528 AWR327528 BGN327528 BQJ327528 CAF327528 CKB327528 CTX327528 DDT327528 DNP327528 DXL327528 EHH327528 ERD327528 FAZ327528 FKV327528 FUR327528 GEN327528 GOJ327528 GYF327528 HIB327528 HRX327528 IBT327528 ILP327528 IVL327528 JFH327528 JPD327528 JYZ327528 KIV327528 KSR327528 LCN327528 LMJ327528 LWF327528 MGB327528 MPX327528 MZT327528 NJP327528 NTL327528 ODH327528 OND327528 OWZ327528 PGV327528 PQR327528 QAN327528 QKJ327528 QUF327528 REB327528 RNX327528 RXT327528 SHP327528 SRL327528 TBH327528 TLD327528 TUZ327528 UEV327528 UOR327528 UYN327528 VIJ327528 VSF327528 WCB327528 WLX327528 WVT327528 JH393064 TD393064 ACZ393064 AMV393064 AWR393064 BGN393064 BQJ393064 CAF393064 CKB393064 CTX393064 DDT393064 DNP393064 DXL393064 EHH393064 ERD393064 FAZ393064 FKV393064 FUR393064 GEN393064 GOJ393064 GYF393064 HIB393064 HRX393064 IBT393064 ILP393064 IVL393064 JFH393064 JPD393064 JYZ393064 KIV393064 KSR393064 LCN393064 LMJ393064 LWF393064 MGB393064 MPX393064 MZT393064 NJP393064 NTL393064 ODH393064 OND393064 OWZ393064 PGV393064 PQR393064 QAN393064 QKJ393064 QUF393064 REB393064 RNX393064 RXT393064 SHP393064 SRL393064 TBH393064 TLD393064 TUZ393064 UEV393064 UOR393064 UYN393064 VIJ393064 VSF393064 WCB393064 WLX393064 WVT393064 JH458600 TD458600 ACZ458600 AMV458600 AWR458600 BGN458600 BQJ458600 CAF458600 CKB458600 CTX458600 DDT458600 DNP458600 DXL458600 EHH458600 ERD458600 FAZ458600 FKV458600 FUR458600 GEN458600 GOJ458600 GYF458600 HIB458600 HRX458600 IBT458600 ILP458600 IVL458600 JFH458600 JPD458600 JYZ458600 KIV458600 KSR458600 LCN458600 LMJ458600 LWF458600 MGB458600 MPX458600 MZT458600 NJP458600 NTL458600 ODH458600 OND458600 OWZ458600 PGV458600 PQR458600 QAN458600 QKJ458600 QUF458600 REB458600 RNX458600 RXT458600 SHP458600 SRL458600 TBH458600 TLD458600 TUZ458600 UEV458600 UOR458600 UYN458600 VIJ458600 VSF458600 WCB458600 WLX458600 WVT458600 JH524136 TD524136 ACZ524136 AMV524136 AWR524136 BGN524136 BQJ524136 CAF524136 CKB524136 CTX524136 DDT524136 DNP524136 DXL524136 EHH524136 ERD524136 FAZ524136 FKV524136 FUR524136 GEN524136 GOJ524136 GYF524136 HIB524136 HRX524136 IBT524136 ILP524136 IVL524136 JFH524136 JPD524136 JYZ524136 KIV524136 KSR524136 LCN524136 LMJ524136 LWF524136 MGB524136 MPX524136 MZT524136 NJP524136 NTL524136 ODH524136 OND524136 OWZ524136 PGV524136 PQR524136 QAN524136 QKJ524136 QUF524136 REB524136 RNX524136 RXT524136 SHP524136 SRL524136 TBH524136 TLD524136 TUZ524136 UEV524136 UOR524136 UYN524136 VIJ524136 VSF524136 WCB524136 WLX524136 WVT524136 JH589672 TD589672 ACZ589672 AMV589672 AWR589672 BGN589672 BQJ589672 CAF589672 CKB589672 CTX589672 DDT589672 DNP589672 DXL589672 EHH589672 ERD589672 FAZ589672 FKV589672 FUR589672 GEN589672 GOJ589672 GYF589672 HIB589672 HRX589672 IBT589672 ILP589672 IVL589672 JFH589672 JPD589672 JYZ589672 KIV589672 KSR589672 LCN589672 LMJ589672 LWF589672 MGB589672 MPX589672 MZT589672 NJP589672 NTL589672 ODH589672 OND589672 OWZ589672 PGV589672 PQR589672 QAN589672 QKJ589672 QUF589672 REB589672 RNX589672 RXT589672 SHP589672 SRL589672 TBH589672 TLD589672 TUZ589672 UEV589672 UOR589672 UYN589672 VIJ589672 VSF589672 WCB589672 WLX589672 WVT589672 JH655208 TD655208 ACZ655208 AMV655208 AWR655208 BGN655208 BQJ655208 CAF655208 CKB655208 CTX655208 DDT655208 DNP655208 DXL655208 EHH655208 ERD655208 FAZ655208 FKV655208 FUR655208 GEN655208 GOJ655208 GYF655208 HIB655208 HRX655208 IBT655208 ILP655208 IVL655208 JFH655208 JPD655208 JYZ655208 KIV655208 KSR655208 LCN655208 LMJ655208 LWF655208 MGB655208 MPX655208 MZT655208 NJP655208 NTL655208 ODH655208 OND655208 OWZ655208 PGV655208 PQR655208 QAN655208 QKJ655208 QUF655208 REB655208 RNX655208 RXT655208 SHP655208 SRL655208 TBH655208 TLD655208 TUZ655208 UEV655208 UOR655208 UYN655208 VIJ655208 VSF655208 WCB655208 WLX655208 WVT655208 JH720744 TD720744 ACZ720744 AMV720744 AWR720744 BGN720744 BQJ720744 CAF720744 CKB720744 CTX720744 DDT720744 DNP720744 DXL720744 EHH720744 ERD720744 FAZ720744 FKV720744 FUR720744 GEN720744 GOJ720744 GYF720744 HIB720744 HRX720744 IBT720744 ILP720744 IVL720744 JFH720744 JPD720744 JYZ720744 KIV720744 KSR720744 LCN720744 LMJ720744 LWF720744 MGB720744 MPX720744 MZT720744 NJP720744 NTL720744 ODH720744 OND720744 OWZ720744 PGV720744 PQR720744 QAN720744 QKJ720744 QUF720744 REB720744 RNX720744 RXT720744 SHP720744 SRL720744 TBH720744 TLD720744 TUZ720744 UEV720744 UOR720744 UYN720744 VIJ720744 VSF720744 WCB720744 WLX720744 WVT720744 JH786280 TD786280 ACZ786280 AMV786280 AWR786280 BGN786280 BQJ786280 CAF786280 CKB786280 CTX786280 DDT786280 DNP786280 DXL786280 EHH786280 ERD786280 FAZ786280 FKV786280 FUR786280 GEN786280 GOJ786280 GYF786280 HIB786280 HRX786280 IBT786280 ILP786280 IVL786280 JFH786280 JPD786280 JYZ786280 KIV786280 KSR786280 LCN786280 LMJ786280 LWF786280 MGB786280 MPX786280 MZT786280 NJP786280 NTL786280 ODH786280 OND786280 OWZ786280 PGV786280 PQR786280 QAN786280 QKJ786280 QUF786280 REB786280 RNX786280 RXT786280 SHP786280 SRL786280 TBH786280 TLD786280 TUZ786280 UEV786280 UOR786280 UYN786280 VIJ786280 VSF786280 WCB786280 WLX786280 WVT786280 JH851816 TD851816 ACZ851816 AMV851816 AWR851816 BGN851816 BQJ851816 CAF851816 CKB851816 CTX851816 DDT851816 DNP851816 DXL851816 EHH851816 ERD851816 FAZ851816 FKV851816 FUR851816 GEN851816 GOJ851816 GYF851816 HIB851816 HRX851816 IBT851816 ILP851816 IVL851816 JFH851816 JPD851816 JYZ851816 KIV851816 KSR851816 LCN851816 LMJ851816 LWF851816 MGB851816 MPX851816 MZT851816 NJP851816 NTL851816 ODH851816 OND851816 OWZ851816 PGV851816 PQR851816 QAN851816 QKJ851816 QUF851816 REB851816 RNX851816 RXT851816 SHP851816 SRL851816 TBH851816 TLD851816 TUZ851816 UEV851816 UOR851816 UYN851816 VIJ851816 VSF851816 WCB851816 WLX851816 WVT851816 JH917352 TD917352 ACZ917352 AMV917352 AWR917352 BGN917352 BQJ917352 CAF917352 CKB917352 CTX917352 DDT917352 DNP917352 DXL917352 EHH917352 ERD917352 FAZ917352 FKV917352 FUR917352 GEN917352 GOJ917352 GYF917352 HIB917352 HRX917352 IBT917352 ILP917352 IVL917352 JFH917352 JPD917352 JYZ917352 KIV917352 KSR917352 LCN917352 LMJ917352 LWF917352 MGB917352 MPX917352 MZT917352 NJP917352 NTL917352 ODH917352 OND917352 OWZ917352 PGV917352 PQR917352 QAN917352 QKJ917352 QUF917352 REB917352 RNX917352 RXT917352 SHP917352 SRL917352 TBH917352 TLD917352 TUZ917352 UEV917352 UOR917352 UYN917352 VIJ917352 VSF917352 WCB917352 WLX917352 WVT917352 JH982888 TD982888 ACZ982888 AMV982888 AWR982888 BGN982888 BQJ982888 CAF982888 CKB982888 CTX982888 DDT982888 DNP982888 DXL982888 EHH982888 ERD982888 FAZ982888 FKV982888 FUR982888 GEN982888 GOJ982888 GYF982888 HIB982888 HRX982888 IBT982888 ILP982888 IVL982888 JFH982888 JPD982888 JYZ982888 KIV982888 KSR982888 LCN982888 LMJ982888 LWF982888 MGB982888 MPX982888 MZT982888 NJP982888 NTL982888 ODH982888 OND982888 OWZ982888 PGV982888 PQR982888 QAN982888 QKJ982888 QUF982888 REB982888 RNX982888 RXT982888 SHP982888 SRL982888 TBH982888 TLD982888 TUZ982888 UEV982888 UOR982888 UYN982888 VIJ982888 VSF982888 WCB982888 WLX982888 WVT982888"/>
    <dataValidation allowBlank="1" showInputMessage="1" showErrorMessage="1" prompt="53° 20' 52.4436''" sqref="JF65384 TB65384 ACX65384 AMT65384 AWP65384 BGL65384 BQH65384 CAD65384 CJZ65384 CTV65384 DDR65384 DNN65384 DXJ65384 EHF65384 ERB65384 FAX65384 FKT65384 FUP65384 GEL65384 GOH65384 GYD65384 HHZ65384 HRV65384 IBR65384 ILN65384 IVJ65384 JFF65384 JPB65384 JYX65384 KIT65384 KSP65384 LCL65384 LMH65384 LWD65384 MFZ65384 MPV65384 MZR65384 NJN65384 NTJ65384 ODF65384 ONB65384 OWX65384 PGT65384 PQP65384 QAL65384 QKH65384 QUD65384 RDZ65384 RNV65384 RXR65384 SHN65384 SRJ65384 TBF65384 TLB65384 TUX65384 UET65384 UOP65384 UYL65384 VIH65384 VSD65384 WBZ65384 WLV65384 WVR65384 JF130920 TB130920 ACX130920 AMT130920 AWP130920 BGL130920 BQH130920 CAD130920 CJZ130920 CTV130920 DDR130920 DNN130920 DXJ130920 EHF130920 ERB130920 FAX130920 FKT130920 FUP130920 GEL130920 GOH130920 GYD130920 HHZ130920 HRV130920 IBR130920 ILN130920 IVJ130920 JFF130920 JPB130920 JYX130920 KIT130920 KSP130920 LCL130920 LMH130920 LWD130920 MFZ130920 MPV130920 MZR130920 NJN130920 NTJ130920 ODF130920 ONB130920 OWX130920 PGT130920 PQP130920 QAL130920 QKH130920 QUD130920 RDZ130920 RNV130920 RXR130920 SHN130920 SRJ130920 TBF130920 TLB130920 TUX130920 UET130920 UOP130920 UYL130920 VIH130920 VSD130920 WBZ130920 WLV130920 WVR130920 JF196456 TB196456 ACX196456 AMT196456 AWP196456 BGL196456 BQH196456 CAD196456 CJZ196456 CTV196456 DDR196456 DNN196456 DXJ196456 EHF196456 ERB196456 FAX196456 FKT196456 FUP196456 GEL196456 GOH196456 GYD196456 HHZ196456 HRV196456 IBR196456 ILN196456 IVJ196456 JFF196456 JPB196456 JYX196456 KIT196456 KSP196456 LCL196456 LMH196456 LWD196456 MFZ196456 MPV196456 MZR196456 NJN196456 NTJ196456 ODF196456 ONB196456 OWX196456 PGT196456 PQP196456 QAL196456 QKH196456 QUD196456 RDZ196456 RNV196456 RXR196456 SHN196456 SRJ196456 TBF196456 TLB196456 TUX196456 UET196456 UOP196456 UYL196456 VIH196456 VSD196456 WBZ196456 WLV196456 WVR196456 JF261992 TB261992 ACX261992 AMT261992 AWP261992 BGL261992 BQH261992 CAD261992 CJZ261992 CTV261992 DDR261992 DNN261992 DXJ261992 EHF261992 ERB261992 FAX261992 FKT261992 FUP261992 GEL261992 GOH261992 GYD261992 HHZ261992 HRV261992 IBR261992 ILN261992 IVJ261992 JFF261992 JPB261992 JYX261992 KIT261992 KSP261992 LCL261992 LMH261992 LWD261992 MFZ261992 MPV261992 MZR261992 NJN261992 NTJ261992 ODF261992 ONB261992 OWX261992 PGT261992 PQP261992 QAL261992 QKH261992 QUD261992 RDZ261992 RNV261992 RXR261992 SHN261992 SRJ261992 TBF261992 TLB261992 TUX261992 UET261992 UOP261992 UYL261992 VIH261992 VSD261992 WBZ261992 WLV261992 WVR261992 JF327528 TB327528 ACX327528 AMT327528 AWP327528 BGL327528 BQH327528 CAD327528 CJZ327528 CTV327528 DDR327528 DNN327528 DXJ327528 EHF327528 ERB327528 FAX327528 FKT327528 FUP327528 GEL327528 GOH327528 GYD327528 HHZ327528 HRV327528 IBR327528 ILN327528 IVJ327528 JFF327528 JPB327528 JYX327528 KIT327528 KSP327528 LCL327528 LMH327528 LWD327528 MFZ327528 MPV327528 MZR327528 NJN327528 NTJ327528 ODF327528 ONB327528 OWX327528 PGT327528 PQP327528 QAL327528 QKH327528 QUD327528 RDZ327528 RNV327528 RXR327528 SHN327528 SRJ327528 TBF327528 TLB327528 TUX327528 UET327528 UOP327528 UYL327528 VIH327528 VSD327528 WBZ327528 WLV327528 WVR327528 JF393064 TB393064 ACX393064 AMT393064 AWP393064 BGL393064 BQH393064 CAD393064 CJZ393064 CTV393064 DDR393064 DNN393064 DXJ393064 EHF393064 ERB393064 FAX393064 FKT393064 FUP393064 GEL393064 GOH393064 GYD393064 HHZ393064 HRV393064 IBR393064 ILN393064 IVJ393064 JFF393064 JPB393064 JYX393064 KIT393064 KSP393064 LCL393064 LMH393064 LWD393064 MFZ393064 MPV393064 MZR393064 NJN393064 NTJ393064 ODF393064 ONB393064 OWX393064 PGT393064 PQP393064 QAL393064 QKH393064 QUD393064 RDZ393064 RNV393064 RXR393064 SHN393064 SRJ393064 TBF393064 TLB393064 TUX393064 UET393064 UOP393064 UYL393064 VIH393064 VSD393064 WBZ393064 WLV393064 WVR393064 JF458600 TB458600 ACX458600 AMT458600 AWP458600 BGL458600 BQH458600 CAD458600 CJZ458600 CTV458600 DDR458600 DNN458600 DXJ458600 EHF458600 ERB458600 FAX458600 FKT458600 FUP458600 GEL458600 GOH458600 GYD458600 HHZ458600 HRV458600 IBR458600 ILN458600 IVJ458600 JFF458600 JPB458600 JYX458600 KIT458600 KSP458600 LCL458600 LMH458600 LWD458600 MFZ458600 MPV458600 MZR458600 NJN458600 NTJ458600 ODF458600 ONB458600 OWX458600 PGT458600 PQP458600 QAL458600 QKH458600 QUD458600 RDZ458600 RNV458600 RXR458600 SHN458600 SRJ458600 TBF458600 TLB458600 TUX458600 UET458600 UOP458600 UYL458600 VIH458600 VSD458600 WBZ458600 WLV458600 WVR458600 JF524136 TB524136 ACX524136 AMT524136 AWP524136 BGL524136 BQH524136 CAD524136 CJZ524136 CTV524136 DDR524136 DNN524136 DXJ524136 EHF524136 ERB524136 FAX524136 FKT524136 FUP524136 GEL524136 GOH524136 GYD524136 HHZ524136 HRV524136 IBR524136 ILN524136 IVJ524136 JFF524136 JPB524136 JYX524136 KIT524136 KSP524136 LCL524136 LMH524136 LWD524136 MFZ524136 MPV524136 MZR524136 NJN524136 NTJ524136 ODF524136 ONB524136 OWX524136 PGT524136 PQP524136 QAL524136 QKH524136 QUD524136 RDZ524136 RNV524136 RXR524136 SHN524136 SRJ524136 TBF524136 TLB524136 TUX524136 UET524136 UOP524136 UYL524136 VIH524136 VSD524136 WBZ524136 WLV524136 WVR524136 JF589672 TB589672 ACX589672 AMT589672 AWP589672 BGL589672 BQH589672 CAD589672 CJZ589672 CTV589672 DDR589672 DNN589672 DXJ589672 EHF589672 ERB589672 FAX589672 FKT589672 FUP589672 GEL589672 GOH589672 GYD589672 HHZ589672 HRV589672 IBR589672 ILN589672 IVJ589672 JFF589672 JPB589672 JYX589672 KIT589672 KSP589672 LCL589672 LMH589672 LWD589672 MFZ589672 MPV589672 MZR589672 NJN589672 NTJ589672 ODF589672 ONB589672 OWX589672 PGT589672 PQP589672 QAL589672 QKH589672 QUD589672 RDZ589672 RNV589672 RXR589672 SHN589672 SRJ589672 TBF589672 TLB589672 TUX589672 UET589672 UOP589672 UYL589672 VIH589672 VSD589672 WBZ589672 WLV589672 WVR589672 JF655208 TB655208 ACX655208 AMT655208 AWP655208 BGL655208 BQH655208 CAD655208 CJZ655208 CTV655208 DDR655208 DNN655208 DXJ655208 EHF655208 ERB655208 FAX655208 FKT655208 FUP655208 GEL655208 GOH655208 GYD655208 HHZ655208 HRV655208 IBR655208 ILN655208 IVJ655208 JFF655208 JPB655208 JYX655208 KIT655208 KSP655208 LCL655208 LMH655208 LWD655208 MFZ655208 MPV655208 MZR655208 NJN655208 NTJ655208 ODF655208 ONB655208 OWX655208 PGT655208 PQP655208 QAL655208 QKH655208 QUD655208 RDZ655208 RNV655208 RXR655208 SHN655208 SRJ655208 TBF655208 TLB655208 TUX655208 UET655208 UOP655208 UYL655208 VIH655208 VSD655208 WBZ655208 WLV655208 WVR655208 JF720744 TB720744 ACX720744 AMT720744 AWP720744 BGL720744 BQH720744 CAD720744 CJZ720744 CTV720744 DDR720744 DNN720744 DXJ720744 EHF720744 ERB720744 FAX720744 FKT720744 FUP720744 GEL720744 GOH720744 GYD720744 HHZ720744 HRV720744 IBR720744 ILN720744 IVJ720744 JFF720744 JPB720744 JYX720744 KIT720744 KSP720744 LCL720744 LMH720744 LWD720744 MFZ720744 MPV720744 MZR720744 NJN720744 NTJ720744 ODF720744 ONB720744 OWX720744 PGT720744 PQP720744 QAL720744 QKH720744 QUD720744 RDZ720744 RNV720744 RXR720744 SHN720744 SRJ720744 TBF720744 TLB720744 TUX720744 UET720744 UOP720744 UYL720744 VIH720744 VSD720744 WBZ720744 WLV720744 WVR720744 JF786280 TB786280 ACX786280 AMT786280 AWP786280 BGL786280 BQH786280 CAD786280 CJZ786280 CTV786280 DDR786280 DNN786280 DXJ786280 EHF786280 ERB786280 FAX786280 FKT786280 FUP786280 GEL786280 GOH786280 GYD786280 HHZ786280 HRV786280 IBR786280 ILN786280 IVJ786280 JFF786280 JPB786280 JYX786280 KIT786280 KSP786280 LCL786280 LMH786280 LWD786280 MFZ786280 MPV786280 MZR786280 NJN786280 NTJ786280 ODF786280 ONB786280 OWX786280 PGT786280 PQP786280 QAL786280 QKH786280 QUD786280 RDZ786280 RNV786280 RXR786280 SHN786280 SRJ786280 TBF786280 TLB786280 TUX786280 UET786280 UOP786280 UYL786280 VIH786280 VSD786280 WBZ786280 WLV786280 WVR786280 JF851816 TB851816 ACX851816 AMT851816 AWP851816 BGL851816 BQH851816 CAD851816 CJZ851816 CTV851816 DDR851816 DNN851816 DXJ851816 EHF851816 ERB851816 FAX851816 FKT851816 FUP851816 GEL851816 GOH851816 GYD851816 HHZ851816 HRV851816 IBR851816 ILN851816 IVJ851816 JFF851816 JPB851816 JYX851816 KIT851816 KSP851816 LCL851816 LMH851816 LWD851816 MFZ851816 MPV851816 MZR851816 NJN851816 NTJ851816 ODF851816 ONB851816 OWX851816 PGT851816 PQP851816 QAL851816 QKH851816 QUD851816 RDZ851816 RNV851816 RXR851816 SHN851816 SRJ851816 TBF851816 TLB851816 TUX851816 UET851816 UOP851816 UYL851816 VIH851816 VSD851816 WBZ851816 WLV851816 WVR851816 JF917352 TB917352 ACX917352 AMT917352 AWP917352 BGL917352 BQH917352 CAD917352 CJZ917352 CTV917352 DDR917352 DNN917352 DXJ917352 EHF917352 ERB917352 FAX917352 FKT917352 FUP917352 GEL917352 GOH917352 GYD917352 HHZ917352 HRV917352 IBR917352 ILN917352 IVJ917352 JFF917352 JPB917352 JYX917352 KIT917352 KSP917352 LCL917352 LMH917352 LWD917352 MFZ917352 MPV917352 MZR917352 NJN917352 NTJ917352 ODF917352 ONB917352 OWX917352 PGT917352 PQP917352 QAL917352 QKH917352 QUD917352 RDZ917352 RNV917352 RXR917352 SHN917352 SRJ917352 TBF917352 TLB917352 TUX917352 UET917352 UOP917352 UYL917352 VIH917352 VSD917352 WBZ917352 WLV917352 WVR917352 JF982888 TB982888 ACX982888 AMT982888 AWP982888 BGL982888 BQH982888 CAD982888 CJZ982888 CTV982888 DDR982888 DNN982888 DXJ982888 EHF982888 ERB982888 FAX982888 FKT982888 FUP982888 GEL982888 GOH982888 GYD982888 HHZ982888 HRV982888 IBR982888 ILN982888 IVJ982888 JFF982888 JPB982888 JYX982888 KIT982888 KSP982888 LCL982888 LMH982888 LWD982888 MFZ982888 MPV982888 MZR982888 NJN982888 NTJ982888 ODF982888 ONB982888 OWX982888 PGT982888 PQP982888 QAL982888 QKH982888 QUD982888 RDZ982888 RNV982888 RXR982888 SHN982888 SRJ982888 TBF982888 TLB982888 TUX982888 UET982888 UOP982888 UYL982888 VIH982888 VSD982888 WBZ982888 WLV982888 WVR982888"/>
    <dataValidation allowBlank="1" showInputMessage="1" showErrorMessage="1" prompt="-6.294484" sqref="JH65380 TD65380 ACZ65380 AMV65380 AWR65380 BGN65380 BQJ65380 CAF65380 CKB65380 CTX65380 DDT65380 DNP65380 DXL65380 EHH65380 ERD65380 FAZ65380 FKV65380 FUR65380 GEN65380 GOJ65380 GYF65380 HIB65380 HRX65380 IBT65380 ILP65380 IVL65380 JFH65380 JPD65380 JYZ65380 KIV65380 KSR65380 LCN65380 LMJ65380 LWF65380 MGB65380 MPX65380 MZT65380 NJP65380 NTL65380 ODH65380 OND65380 OWZ65380 PGV65380 PQR65380 QAN65380 QKJ65380 QUF65380 REB65380 RNX65380 RXT65380 SHP65380 SRL65380 TBH65380 TLD65380 TUZ65380 UEV65380 UOR65380 UYN65380 VIJ65380 VSF65380 WCB65380 WLX65380 WVT65380 JH130916 TD130916 ACZ130916 AMV130916 AWR130916 BGN130916 BQJ130916 CAF130916 CKB130916 CTX130916 DDT130916 DNP130916 DXL130916 EHH130916 ERD130916 FAZ130916 FKV130916 FUR130916 GEN130916 GOJ130916 GYF130916 HIB130916 HRX130916 IBT130916 ILP130916 IVL130916 JFH130916 JPD130916 JYZ130916 KIV130916 KSR130916 LCN130916 LMJ130916 LWF130916 MGB130916 MPX130916 MZT130916 NJP130916 NTL130916 ODH130916 OND130916 OWZ130916 PGV130916 PQR130916 QAN130916 QKJ130916 QUF130916 REB130916 RNX130916 RXT130916 SHP130916 SRL130916 TBH130916 TLD130916 TUZ130916 UEV130916 UOR130916 UYN130916 VIJ130916 VSF130916 WCB130916 WLX130916 WVT130916 JH196452 TD196452 ACZ196452 AMV196452 AWR196452 BGN196452 BQJ196452 CAF196452 CKB196452 CTX196452 DDT196452 DNP196452 DXL196452 EHH196452 ERD196452 FAZ196452 FKV196452 FUR196452 GEN196452 GOJ196452 GYF196452 HIB196452 HRX196452 IBT196452 ILP196452 IVL196452 JFH196452 JPD196452 JYZ196452 KIV196452 KSR196452 LCN196452 LMJ196452 LWF196452 MGB196452 MPX196452 MZT196452 NJP196452 NTL196452 ODH196452 OND196452 OWZ196452 PGV196452 PQR196452 QAN196452 QKJ196452 QUF196452 REB196452 RNX196452 RXT196452 SHP196452 SRL196452 TBH196452 TLD196452 TUZ196452 UEV196452 UOR196452 UYN196452 VIJ196452 VSF196452 WCB196452 WLX196452 WVT196452 JH261988 TD261988 ACZ261988 AMV261988 AWR261988 BGN261988 BQJ261988 CAF261988 CKB261988 CTX261988 DDT261988 DNP261988 DXL261988 EHH261988 ERD261988 FAZ261988 FKV261988 FUR261988 GEN261988 GOJ261988 GYF261988 HIB261988 HRX261988 IBT261988 ILP261988 IVL261988 JFH261988 JPD261988 JYZ261988 KIV261988 KSR261988 LCN261988 LMJ261988 LWF261988 MGB261988 MPX261988 MZT261988 NJP261988 NTL261988 ODH261988 OND261988 OWZ261988 PGV261988 PQR261988 QAN261988 QKJ261988 QUF261988 REB261988 RNX261988 RXT261988 SHP261988 SRL261988 TBH261988 TLD261988 TUZ261988 UEV261988 UOR261988 UYN261988 VIJ261988 VSF261988 WCB261988 WLX261988 WVT261988 JH327524 TD327524 ACZ327524 AMV327524 AWR327524 BGN327524 BQJ327524 CAF327524 CKB327524 CTX327524 DDT327524 DNP327524 DXL327524 EHH327524 ERD327524 FAZ327524 FKV327524 FUR327524 GEN327524 GOJ327524 GYF327524 HIB327524 HRX327524 IBT327524 ILP327524 IVL327524 JFH327524 JPD327524 JYZ327524 KIV327524 KSR327524 LCN327524 LMJ327524 LWF327524 MGB327524 MPX327524 MZT327524 NJP327524 NTL327524 ODH327524 OND327524 OWZ327524 PGV327524 PQR327524 QAN327524 QKJ327524 QUF327524 REB327524 RNX327524 RXT327524 SHP327524 SRL327524 TBH327524 TLD327524 TUZ327524 UEV327524 UOR327524 UYN327524 VIJ327524 VSF327524 WCB327524 WLX327524 WVT327524 JH393060 TD393060 ACZ393060 AMV393060 AWR393060 BGN393060 BQJ393060 CAF393060 CKB393060 CTX393060 DDT393060 DNP393060 DXL393060 EHH393060 ERD393060 FAZ393060 FKV393060 FUR393060 GEN393060 GOJ393060 GYF393060 HIB393060 HRX393060 IBT393060 ILP393060 IVL393060 JFH393060 JPD393060 JYZ393060 KIV393060 KSR393060 LCN393060 LMJ393060 LWF393060 MGB393060 MPX393060 MZT393060 NJP393060 NTL393060 ODH393060 OND393060 OWZ393060 PGV393060 PQR393060 QAN393060 QKJ393060 QUF393060 REB393060 RNX393060 RXT393060 SHP393060 SRL393060 TBH393060 TLD393060 TUZ393060 UEV393060 UOR393060 UYN393060 VIJ393060 VSF393060 WCB393060 WLX393060 WVT393060 JH458596 TD458596 ACZ458596 AMV458596 AWR458596 BGN458596 BQJ458596 CAF458596 CKB458596 CTX458596 DDT458596 DNP458596 DXL458596 EHH458596 ERD458596 FAZ458596 FKV458596 FUR458596 GEN458596 GOJ458596 GYF458596 HIB458596 HRX458596 IBT458596 ILP458596 IVL458596 JFH458596 JPD458596 JYZ458596 KIV458596 KSR458596 LCN458596 LMJ458596 LWF458596 MGB458596 MPX458596 MZT458596 NJP458596 NTL458596 ODH458596 OND458596 OWZ458596 PGV458596 PQR458596 QAN458596 QKJ458596 QUF458596 REB458596 RNX458596 RXT458596 SHP458596 SRL458596 TBH458596 TLD458596 TUZ458596 UEV458596 UOR458596 UYN458596 VIJ458596 VSF458596 WCB458596 WLX458596 WVT458596 JH524132 TD524132 ACZ524132 AMV524132 AWR524132 BGN524132 BQJ524132 CAF524132 CKB524132 CTX524132 DDT524132 DNP524132 DXL524132 EHH524132 ERD524132 FAZ524132 FKV524132 FUR524132 GEN524132 GOJ524132 GYF524132 HIB524132 HRX524132 IBT524132 ILP524132 IVL524132 JFH524132 JPD524132 JYZ524132 KIV524132 KSR524132 LCN524132 LMJ524132 LWF524132 MGB524132 MPX524132 MZT524132 NJP524132 NTL524132 ODH524132 OND524132 OWZ524132 PGV524132 PQR524132 QAN524132 QKJ524132 QUF524132 REB524132 RNX524132 RXT524132 SHP524132 SRL524132 TBH524132 TLD524132 TUZ524132 UEV524132 UOR524132 UYN524132 VIJ524132 VSF524132 WCB524132 WLX524132 WVT524132 JH589668 TD589668 ACZ589668 AMV589668 AWR589668 BGN589668 BQJ589668 CAF589668 CKB589668 CTX589668 DDT589668 DNP589668 DXL589668 EHH589668 ERD589668 FAZ589668 FKV589668 FUR589668 GEN589668 GOJ589668 GYF589668 HIB589668 HRX589668 IBT589668 ILP589668 IVL589668 JFH589668 JPD589668 JYZ589668 KIV589668 KSR589668 LCN589668 LMJ589668 LWF589668 MGB589668 MPX589668 MZT589668 NJP589668 NTL589668 ODH589668 OND589668 OWZ589668 PGV589668 PQR589668 QAN589668 QKJ589668 QUF589668 REB589668 RNX589668 RXT589668 SHP589668 SRL589668 TBH589668 TLD589668 TUZ589668 UEV589668 UOR589668 UYN589668 VIJ589668 VSF589668 WCB589668 WLX589668 WVT589668 JH655204 TD655204 ACZ655204 AMV655204 AWR655204 BGN655204 BQJ655204 CAF655204 CKB655204 CTX655204 DDT655204 DNP655204 DXL655204 EHH655204 ERD655204 FAZ655204 FKV655204 FUR655204 GEN655204 GOJ655204 GYF655204 HIB655204 HRX655204 IBT655204 ILP655204 IVL655204 JFH655204 JPD655204 JYZ655204 KIV655204 KSR655204 LCN655204 LMJ655204 LWF655204 MGB655204 MPX655204 MZT655204 NJP655204 NTL655204 ODH655204 OND655204 OWZ655204 PGV655204 PQR655204 QAN655204 QKJ655204 QUF655204 REB655204 RNX655204 RXT655204 SHP655204 SRL655204 TBH655204 TLD655204 TUZ655204 UEV655204 UOR655204 UYN655204 VIJ655204 VSF655204 WCB655204 WLX655204 WVT655204 JH720740 TD720740 ACZ720740 AMV720740 AWR720740 BGN720740 BQJ720740 CAF720740 CKB720740 CTX720740 DDT720740 DNP720740 DXL720740 EHH720740 ERD720740 FAZ720740 FKV720740 FUR720740 GEN720740 GOJ720740 GYF720740 HIB720740 HRX720740 IBT720740 ILP720740 IVL720740 JFH720740 JPD720740 JYZ720740 KIV720740 KSR720740 LCN720740 LMJ720740 LWF720740 MGB720740 MPX720740 MZT720740 NJP720740 NTL720740 ODH720740 OND720740 OWZ720740 PGV720740 PQR720740 QAN720740 QKJ720740 QUF720740 REB720740 RNX720740 RXT720740 SHP720740 SRL720740 TBH720740 TLD720740 TUZ720740 UEV720740 UOR720740 UYN720740 VIJ720740 VSF720740 WCB720740 WLX720740 WVT720740 JH786276 TD786276 ACZ786276 AMV786276 AWR786276 BGN786276 BQJ786276 CAF786276 CKB786276 CTX786276 DDT786276 DNP786276 DXL786276 EHH786276 ERD786276 FAZ786276 FKV786276 FUR786276 GEN786276 GOJ786276 GYF786276 HIB786276 HRX786276 IBT786276 ILP786276 IVL786276 JFH786276 JPD786276 JYZ786276 KIV786276 KSR786276 LCN786276 LMJ786276 LWF786276 MGB786276 MPX786276 MZT786276 NJP786276 NTL786276 ODH786276 OND786276 OWZ786276 PGV786276 PQR786276 QAN786276 QKJ786276 QUF786276 REB786276 RNX786276 RXT786276 SHP786276 SRL786276 TBH786276 TLD786276 TUZ786276 UEV786276 UOR786276 UYN786276 VIJ786276 VSF786276 WCB786276 WLX786276 WVT786276 JH851812 TD851812 ACZ851812 AMV851812 AWR851812 BGN851812 BQJ851812 CAF851812 CKB851812 CTX851812 DDT851812 DNP851812 DXL851812 EHH851812 ERD851812 FAZ851812 FKV851812 FUR851812 GEN851812 GOJ851812 GYF851812 HIB851812 HRX851812 IBT851812 ILP851812 IVL851812 JFH851812 JPD851812 JYZ851812 KIV851812 KSR851812 LCN851812 LMJ851812 LWF851812 MGB851812 MPX851812 MZT851812 NJP851812 NTL851812 ODH851812 OND851812 OWZ851812 PGV851812 PQR851812 QAN851812 QKJ851812 QUF851812 REB851812 RNX851812 RXT851812 SHP851812 SRL851812 TBH851812 TLD851812 TUZ851812 UEV851812 UOR851812 UYN851812 VIJ851812 VSF851812 WCB851812 WLX851812 WVT851812 JH917348 TD917348 ACZ917348 AMV917348 AWR917348 BGN917348 BQJ917348 CAF917348 CKB917348 CTX917348 DDT917348 DNP917348 DXL917348 EHH917348 ERD917348 FAZ917348 FKV917348 FUR917348 GEN917348 GOJ917348 GYF917348 HIB917348 HRX917348 IBT917348 ILP917348 IVL917348 JFH917348 JPD917348 JYZ917348 KIV917348 KSR917348 LCN917348 LMJ917348 LWF917348 MGB917348 MPX917348 MZT917348 NJP917348 NTL917348 ODH917348 OND917348 OWZ917348 PGV917348 PQR917348 QAN917348 QKJ917348 QUF917348 REB917348 RNX917348 RXT917348 SHP917348 SRL917348 TBH917348 TLD917348 TUZ917348 UEV917348 UOR917348 UYN917348 VIJ917348 VSF917348 WCB917348 WLX917348 WVT917348 JH982884 TD982884 ACZ982884 AMV982884 AWR982884 BGN982884 BQJ982884 CAF982884 CKB982884 CTX982884 DDT982884 DNP982884 DXL982884 EHH982884 ERD982884 FAZ982884 FKV982884 FUR982884 GEN982884 GOJ982884 GYF982884 HIB982884 HRX982884 IBT982884 ILP982884 IVL982884 JFH982884 JPD982884 JYZ982884 KIV982884 KSR982884 LCN982884 LMJ982884 LWF982884 MGB982884 MPX982884 MZT982884 NJP982884 NTL982884 ODH982884 OND982884 OWZ982884 PGV982884 PQR982884 QAN982884 QKJ982884 QUF982884 REB982884 RNX982884 RXT982884 SHP982884 SRL982884 TBH982884 TLD982884 TUZ982884 UEV982884 UOR982884 UYN982884 VIJ982884 VSF982884 WCB982884 WLX982884 WVT982884"/>
    <dataValidation allowBlank="1" showInputMessage="1" showErrorMessage="1" prompt="53.347901" sqref="JF65380 TB65380 ACX65380 AMT65380 AWP65380 BGL65380 BQH65380 CAD65380 CJZ65380 CTV65380 DDR65380 DNN65380 DXJ65380 EHF65380 ERB65380 FAX65380 FKT65380 FUP65380 GEL65380 GOH65380 GYD65380 HHZ65380 HRV65380 IBR65380 ILN65380 IVJ65380 JFF65380 JPB65380 JYX65380 KIT65380 KSP65380 LCL65380 LMH65380 LWD65380 MFZ65380 MPV65380 MZR65380 NJN65380 NTJ65380 ODF65380 ONB65380 OWX65380 PGT65380 PQP65380 QAL65380 QKH65380 QUD65380 RDZ65380 RNV65380 RXR65380 SHN65380 SRJ65380 TBF65380 TLB65380 TUX65380 UET65380 UOP65380 UYL65380 VIH65380 VSD65380 WBZ65380 WLV65380 WVR65380 JF130916 TB130916 ACX130916 AMT130916 AWP130916 BGL130916 BQH130916 CAD130916 CJZ130916 CTV130916 DDR130916 DNN130916 DXJ130916 EHF130916 ERB130916 FAX130916 FKT130916 FUP130916 GEL130916 GOH130916 GYD130916 HHZ130916 HRV130916 IBR130916 ILN130916 IVJ130916 JFF130916 JPB130916 JYX130916 KIT130916 KSP130916 LCL130916 LMH130916 LWD130916 MFZ130916 MPV130916 MZR130916 NJN130916 NTJ130916 ODF130916 ONB130916 OWX130916 PGT130916 PQP130916 QAL130916 QKH130916 QUD130916 RDZ130916 RNV130916 RXR130916 SHN130916 SRJ130916 TBF130916 TLB130916 TUX130916 UET130916 UOP130916 UYL130916 VIH130916 VSD130916 WBZ130916 WLV130916 WVR130916 JF196452 TB196452 ACX196452 AMT196452 AWP196452 BGL196452 BQH196452 CAD196452 CJZ196452 CTV196452 DDR196452 DNN196452 DXJ196452 EHF196452 ERB196452 FAX196452 FKT196452 FUP196452 GEL196452 GOH196452 GYD196452 HHZ196452 HRV196452 IBR196452 ILN196452 IVJ196452 JFF196452 JPB196452 JYX196452 KIT196452 KSP196452 LCL196452 LMH196452 LWD196452 MFZ196452 MPV196452 MZR196452 NJN196452 NTJ196452 ODF196452 ONB196452 OWX196452 PGT196452 PQP196452 QAL196452 QKH196452 QUD196452 RDZ196452 RNV196452 RXR196452 SHN196452 SRJ196452 TBF196452 TLB196452 TUX196452 UET196452 UOP196452 UYL196452 VIH196452 VSD196452 WBZ196452 WLV196452 WVR196452 JF261988 TB261988 ACX261988 AMT261988 AWP261988 BGL261988 BQH261988 CAD261988 CJZ261988 CTV261988 DDR261988 DNN261988 DXJ261988 EHF261988 ERB261988 FAX261988 FKT261988 FUP261988 GEL261988 GOH261988 GYD261988 HHZ261988 HRV261988 IBR261988 ILN261988 IVJ261988 JFF261988 JPB261988 JYX261988 KIT261988 KSP261988 LCL261988 LMH261988 LWD261988 MFZ261988 MPV261988 MZR261988 NJN261988 NTJ261988 ODF261988 ONB261988 OWX261988 PGT261988 PQP261988 QAL261988 QKH261988 QUD261988 RDZ261988 RNV261988 RXR261988 SHN261988 SRJ261988 TBF261988 TLB261988 TUX261988 UET261988 UOP261988 UYL261988 VIH261988 VSD261988 WBZ261988 WLV261988 WVR261988 JF327524 TB327524 ACX327524 AMT327524 AWP327524 BGL327524 BQH327524 CAD327524 CJZ327524 CTV327524 DDR327524 DNN327524 DXJ327524 EHF327524 ERB327524 FAX327524 FKT327524 FUP327524 GEL327524 GOH327524 GYD327524 HHZ327524 HRV327524 IBR327524 ILN327524 IVJ327524 JFF327524 JPB327524 JYX327524 KIT327524 KSP327524 LCL327524 LMH327524 LWD327524 MFZ327524 MPV327524 MZR327524 NJN327524 NTJ327524 ODF327524 ONB327524 OWX327524 PGT327524 PQP327524 QAL327524 QKH327524 QUD327524 RDZ327524 RNV327524 RXR327524 SHN327524 SRJ327524 TBF327524 TLB327524 TUX327524 UET327524 UOP327524 UYL327524 VIH327524 VSD327524 WBZ327524 WLV327524 WVR327524 JF393060 TB393060 ACX393060 AMT393060 AWP393060 BGL393060 BQH393060 CAD393060 CJZ393060 CTV393060 DDR393060 DNN393060 DXJ393060 EHF393060 ERB393060 FAX393060 FKT393060 FUP393060 GEL393060 GOH393060 GYD393060 HHZ393060 HRV393060 IBR393060 ILN393060 IVJ393060 JFF393060 JPB393060 JYX393060 KIT393060 KSP393060 LCL393060 LMH393060 LWD393060 MFZ393060 MPV393060 MZR393060 NJN393060 NTJ393060 ODF393060 ONB393060 OWX393060 PGT393060 PQP393060 QAL393060 QKH393060 QUD393060 RDZ393060 RNV393060 RXR393060 SHN393060 SRJ393060 TBF393060 TLB393060 TUX393060 UET393060 UOP393060 UYL393060 VIH393060 VSD393060 WBZ393060 WLV393060 WVR393060 JF458596 TB458596 ACX458596 AMT458596 AWP458596 BGL458596 BQH458596 CAD458596 CJZ458596 CTV458596 DDR458596 DNN458596 DXJ458596 EHF458596 ERB458596 FAX458596 FKT458596 FUP458596 GEL458596 GOH458596 GYD458596 HHZ458596 HRV458596 IBR458596 ILN458596 IVJ458596 JFF458596 JPB458596 JYX458596 KIT458596 KSP458596 LCL458596 LMH458596 LWD458596 MFZ458596 MPV458596 MZR458596 NJN458596 NTJ458596 ODF458596 ONB458596 OWX458596 PGT458596 PQP458596 QAL458596 QKH458596 QUD458596 RDZ458596 RNV458596 RXR458596 SHN458596 SRJ458596 TBF458596 TLB458596 TUX458596 UET458596 UOP458596 UYL458596 VIH458596 VSD458596 WBZ458596 WLV458596 WVR458596 JF524132 TB524132 ACX524132 AMT524132 AWP524132 BGL524132 BQH524132 CAD524132 CJZ524132 CTV524132 DDR524132 DNN524132 DXJ524132 EHF524132 ERB524132 FAX524132 FKT524132 FUP524132 GEL524132 GOH524132 GYD524132 HHZ524132 HRV524132 IBR524132 ILN524132 IVJ524132 JFF524132 JPB524132 JYX524132 KIT524132 KSP524132 LCL524132 LMH524132 LWD524132 MFZ524132 MPV524132 MZR524132 NJN524132 NTJ524132 ODF524132 ONB524132 OWX524132 PGT524132 PQP524132 QAL524132 QKH524132 QUD524132 RDZ524132 RNV524132 RXR524132 SHN524132 SRJ524132 TBF524132 TLB524132 TUX524132 UET524132 UOP524132 UYL524132 VIH524132 VSD524132 WBZ524132 WLV524132 WVR524132 JF589668 TB589668 ACX589668 AMT589668 AWP589668 BGL589668 BQH589668 CAD589668 CJZ589668 CTV589668 DDR589668 DNN589668 DXJ589668 EHF589668 ERB589668 FAX589668 FKT589668 FUP589668 GEL589668 GOH589668 GYD589668 HHZ589668 HRV589668 IBR589668 ILN589668 IVJ589668 JFF589668 JPB589668 JYX589668 KIT589668 KSP589668 LCL589668 LMH589668 LWD589668 MFZ589668 MPV589668 MZR589668 NJN589668 NTJ589668 ODF589668 ONB589668 OWX589668 PGT589668 PQP589668 QAL589668 QKH589668 QUD589668 RDZ589668 RNV589668 RXR589668 SHN589668 SRJ589668 TBF589668 TLB589668 TUX589668 UET589668 UOP589668 UYL589668 VIH589668 VSD589668 WBZ589668 WLV589668 WVR589668 JF655204 TB655204 ACX655204 AMT655204 AWP655204 BGL655204 BQH655204 CAD655204 CJZ655204 CTV655204 DDR655204 DNN655204 DXJ655204 EHF655204 ERB655204 FAX655204 FKT655204 FUP655204 GEL655204 GOH655204 GYD655204 HHZ655204 HRV655204 IBR655204 ILN655204 IVJ655204 JFF655204 JPB655204 JYX655204 KIT655204 KSP655204 LCL655204 LMH655204 LWD655204 MFZ655204 MPV655204 MZR655204 NJN655204 NTJ655204 ODF655204 ONB655204 OWX655204 PGT655204 PQP655204 QAL655204 QKH655204 QUD655204 RDZ655204 RNV655204 RXR655204 SHN655204 SRJ655204 TBF655204 TLB655204 TUX655204 UET655204 UOP655204 UYL655204 VIH655204 VSD655204 WBZ655204 WLV655204 WVR655204 JF720740 TB720740 ACX720740 AMT720740 AWP720740 BGL720740 BQH720740 CAD720740 CJZ720740 CTV720740 DDR720740 DNN720740 DXJ720740 EHF720740 ERB720740 FAX720740 FKT720740 FUP720740 GEL720740 GOH720740 GYD720740 HHZ720740 HRV720740 IBR720740 ILN720740 IVJ720740 JFF720740 JPB720740 JYX720740 KIT720740 KSP720740 LCL720740 LMH720740 LWD720740 MFZ720740 MPV720740 MZR720740 NJN720740 NTJ720740 ODF720740 ONB720740 OWX720740 PGT720740 PQP720740 QAL720740 QKH720740 QUD720740 RDZ720740 RNV720740 RXR720740 SHN720740 SRJ720740 TBF720740 TLB720740 TUX720740 UET720740 UOP720740 UYL720740 VIH720740 VSD720740 WBZ720740 WLV720740 WVR720740 JF786276 TB786276 ACX786276 AMT786276 AWP786276 BGL786276 BQH786276 CAD786276 CJZ786276 CTV786276 DDR786276 DNN786276 DXJ786276 EHF786276 ERB786276 FAX786276 FKT786276 FUP786276 GEL786276 GOH786276 GYD786276 HHZ786276 HRV786276 IBR786276 ILN786276 IVJ786276 JFF786276 JPB786276 JYX786276 KIT786276 KSP786276 LCL786276 LMH786276 LWD786276 MFZ786276 MPV786276 MZR786276 NJN786276 NTJ786276 ODF786276 ONB786276 OWX786276 PGT786276 PQP786276 QAL786276 QKH786276 QUD786276 RDZ786276 RNV786276 RXR786276 SHN786276 SRJ786276 TBF786276 TLB786276 TUX786276 UET786276 UOP786276 UYL786276 VIH786276 VSD786276 WBZ786276 WLV786276 WVR786276 JF851812 TB851812 ACX851812 AMT851812 AWP851812 BGL851812 BQH851812 CAD851812 CJZ851812 CTV851812 DDR851812 DNN851812 DXJ851812 EHF851812 ERB851812 FAX851812 FKT851812 FUP851812 GEL851812 GOH851812 GYD851812 HHZ851812 HRV851812 IBR851812 ILN851812 IVJ851812 JFF851812 JPB851812 JYX851812 KIT851812 KSP851812 LCL851812 LMH851812 LWD851812 MFZ851812 MPV851812 MZR851812 NJN851812 NTJ851812 ODF851812 ONB851812 OWX851812 PGT851812 PQP851812 QAL851812 QKH851812 QUD851812 RDZ851812 RNV851812 RXR851812 SHN851812 SRJ851812 TBF851812 TLB851812 TUX851812 UET851812 UOP851812 UYL851812 VIH851812 VSD851812 WBZ851812 WLV851812 WVR851812 JF917348 TB917348 ACX917348 AMT917348 AWP917348 BGL917348 BQH917348 CAD917348 CJZ917348 CTV917348 DDR917348 DNN917348 DXJ917348 EHF917348 ERB917348 FAX917348 FKT917348 FUP917348 GEL917348 GOH917348 GYD917348 HHZ917348 HRV917348 IBR917348 ILN917348 IVJ917348 JFF917348 JPB917348 JYX917348 KIT917348 KSP917348 LCL917348 LMH917348 LWD917348 MFZ917348 MPV917348 MZR917348 NJN917348 NTJ917348 ODF917348 ONB917348 OWX917348 PGT917348 PQP917348 QAL917348 QKH917348 QUD917348 RDZ917348 RNV917348 RXR917348 SHN917348 SRJ917348 TBF917348 TLB917348 TUX917348 UET917348 UOP917348 UYL917348 VIH917348 VSD917348 WBZ917348 WLV917348 WVR917348 JF982884 TB982884 ACX982884 AMT982884 AWP982884 BGL982884 BQH982884 CAD982884 CJZ982884 CTV982884 DDR982884 DNN982884 DXJ982884 EHF982884 ERB982884 FAX982884 FKT982884 FUP982884 GEL982884 GOH982884 GYD982884 HHZ982884 HRV982884 IBR982884 ILN982884 IVJ982884 JFF982884 JPB982884 JYX982884 KIT982884 KSP982884 LCL982884 LMH982884 LWD982884 MFZ982884 MPV982884 MZR982884 NJN982884 NTJ982884 ODF982884 ONB982884 OWX982884 PGT982884 PQP982884 QAL982884 QKH982884 QUD982884 RDZ982884 RNV982884 RXR982884 SHN982884 SRJ982884 TBF982884 TLB982884 TUX982884 UET982884 UOP982884 UYL982884 VIH982884 VSD982884 WBZ982884 WLV982884 WVR982884"/>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8"/>
  <sheetViews>
    <sheetView view="pageLayout" zoomScale="70" zoomScaleNormal="100" zoomScalePageLayoutView="70" workbookViewId="0">
      <selection activeCell="A7" sqref="A7"/>
    </sheetView>
  </sheetViews>
  <sheetFormatPr defaultRowHeight="15" customHeight="1" x14ac:dyDescent="0.3"/>
  <cols>
    <col min="1" max="1" width="8.33203125" style="2" customWidth="1"/>
    <col min="2" max="2" width="7.44140625" style="20" bestFit="1" customWidth="1"/>
    <col min="3" max="4" width="12" style="2" customWidth="1"/>
    <col min="5" max="6" width="5" style="2" customWidth="1"/>
    <col min="7" max="7" width="8.5546875" style="2" bestFit="1" customWidth="1"/>
    <col min="8" max="8" width="6.6640625" style="2" customWidth="1"/>
    <col min="9" max="9" width="11.44140625" style="8" customWidth="1"/>
    <col min="10" max="10" width="12.5546875" style="8" customWidth="1"/>
    <col min="11" max="11" width="8.33203125" style="8" customWidth="1"/>
    <col min="12" max="12" width="12.5546875" style="8" customWidth="1"/>
    <col min="13" max="13" width="8.33203125" style="8" customWidth="1"/>
    <col min="14" max="14" width="10.44140625" style="8" bestFit="1" customWidth="1"/>
    <col min="15" max="15" width="8.33203125" style="8" customWidth="1"/>
    <col min="16" max="18" width="11.44140625" style="2" customWidth="1"/>
    <col min="19" max="19" width="12" style="2" bestFit="1" customWidth="1"/>
    <col min="20" max="20" width="5.6640625" style="2" customWidth="1"/>
    <col min="21" max="21" width="6.33203125" style="2" customWidth="1"/>
    <col min="22" max="22" width="9.109375" style="2" customWidth="1"/>
    <col min="23" max="272" width="7.6640625" style="2" customWidth="1"/>
    <col min="273" max="273" width="14.33203125" style="2" customWidth="1"/>
    <col min="274" max="274" width="4" style="2" customWidth="1"/>
    <col min="275" max="275" width="14.33203125" style="2" customWidth="1"/>
    <col min="276" max="276" width="4" style="2" customWidth="1"/>
    <col min="277" max="528" width="7.6640625" style="2" customWidth="1"/>
    <col min="529" max="529" width="14.33203125" style="2" customWidth="1"/>
    <col min="530" max="530" width="4" style="2" customWidth="1"/>
    <col min="531" max="531" width="14.33203125" style="2" customWidth="1"/>
    <col min="532" max="532" width="4" style="2" customWidth="1"/>
    <col min="533" max="784" width="7.6640625" style="2" customWidth="1"/>
    <col min="785" max="785" width="14.33203125" style="2" customWidth="1"/>
    <col min="786" max="786" width="4" style="2" customWidth="1"/>
    <col min="787" max="787" width="14.33203125" style="2" customWidth="1"/>
    <col min="788" max="788" width="4" style="2" customWidth="1"/>
    <col min="789" max="1040" width="7.6640625" style="2" customWidth="1"/>
    <col min="1041" max="1041" width="14.33203125" style="2" customWidth="1"/>
    <col min="1042" max="1042" width="4" style="2" customWidth="1"/>
    <col min="1043" max="1043" width="14.33203125" style="2" customWidth="1"/>
    <col min="1044" max="1044" width="4" style="2" customWidth="1"/>
    <col min="1045" max="1296" width="7.6640625" style="2" customWidth="1"/>
    <col min="1297" max="1297" width="14.33203125" style="2" customWidth="1"/>
    <col min="1298" max="1298" width="4" style="2" customWidth="1"/>
    <col min="1299" max="1299" width="14.33203125" style="2" customWidth="1"/>
    <col min="1300" max="1300" width="4" style="2" customWidth="1"/>
    <col min="1301" max="1552" width="7.6640625" style="2" customWidth="1"/>
    <col min="1553" max="1553" width="14.33203125" style="2" customWidth="1"/>
    <col min="1554" max="1554" width="4" style="2" customWidth="1"/>
    <col min="1555" max="1555" width="14.33203125" style="2" customWidth="1"/>
    <col min="1556" max="1556" width="4" style="2" customWidth="1"/>
    <col min="1557" max="1808" width="7.6640625" style="2" customWidth="1"/>
    <col min="1809" max="1809" width="14.33203125" style="2" customWidth="1"/>
    <col min="1810" max="1810" width="4" style="2" customWidth="1"/>
    <col min="1811" max="1811" width="14.33203125" style="2" customWidth="1"/>
    <col min="1812" max="1812" width="4" style="2" customWidth="1"/>
    <col min="1813" max="2064" width="7.6640625" style="2" customWidth="1"/>
    <col min="2065" max="2065" width="14.33203125" style="2" customWidth="1"/>
    <col min="2066" max="2066" width="4" style="2" customWidth="1"/>
    <col min="2067" max="2067" width="14.33203125" style="2" customWidth="1"/>
    <col min="2068" max="2068" width="4" style="2" customWidth="1"/>
    <col min="2069" max="2320" width="7.6640625" style="2" customWidth="1"/>
    <col min="2321" max="2321" width="14.33203125" style="2" customWidth="1"/>
    <col min="2322" max="2322" width="4" style="2" customWidth="1"/>
    <col min="2323" max="2323" width="14.33203125" style="2" customWidth="1"/>
    <col min="2324" max="2324" width="4" style="2" customWidth="1"/>
    <col min="2325" max="2576" width="7.6640625" style="2" customWidth="1"/>
    <col min="2577" max="2577" width="14.33203125" style="2" customWidth="1"/>
    <col min="2578" max="2578" width="4" style="2" customWidth="1"/>
    <col min="2579" max="2579" width="14.33203125" style="2" customWidth="1"/>
    <col min="2580" max="2580" width="4" style="2" customWidth="1"/>
    <col min="2581" max="2832" width="7.6640625" style="2" customWidth="1"/>
    <col min="2833" max="2833" width="14.33203125" style="2" customWidth="1"/>
    <col min="2834" max="2834" width="4" style="2" customWidth="1"/>
    <col min="2835" max="2835" width="14.33203125" style="2" customWidth="1"/>
    <col min="2836" max="2836" width="4" style="2" customWidth="1"/>
    <col min="2837" max="3088" width="7.6640625" style="2" customWidth="1"/>
    <col min="3089" max="3089" width="14.33203125" style="2" customWidth="1"/>
    <col min="3090" max="3090" width="4" style="2" customWidth="1"/>
    <col min="3091" max="3091" width="14.33203125" style="2" customWidth="1"/>
    <col min="3092" max="3092" width="4" style="2" customWidth="1"/>
    <col min="3093" max="3344" width="7.6640625" style="2" customWidth="1"/>
    <col min="3345" max="3345" width="14.33203125" style="2" customWidth="1"/>
    <col min="3346" max="3346" width="4" style="2" customWidth="1"/>
    <col min="3347" max="3347" width="14.33203125" style="2" customWidth="1"/>
    <col min="3348" max="3348" width="4" style="2" customWidth="1"/>
    <col min="3349" max="3600" width="7.6640625" style="2" customWidth="1"/>
    <col min="3601" max="3601" width="14.33203125" style="2" customWidth="1"/>
    <col min="3602" max="3602" width="4" style="2" customWidth="1"/>
    <col min="3603" max="3603" width="14.33203125" style="2" customWidth="1"/>
    <col min="3604" max="3604" width="4" style="2" customWidth="1"/>
    <col min="3605" max="3856" width="7.6640625" style="2" customWidth="1"/>
    <col min="3857" max="3857" width="14.33203125" style="2" customWidth="1"/>
    <col min="3858" max="3858" width="4" style="2" customWidth="1"/>
    <col min="3859" max="3859" width="14.33203125" style="2" customWidth="1"/>
    <col min="3860" max="3860" width="4" style="2" customWidth="1"/>
    <col min="3861" max="4112" width="7.6640625" style="2" customWidth="1"/>
    <col min="4113" max="4113" width="14.33203125" style="2" customWidth="1"/>
    <col min="4114" max="4114" width="4" style="2" customWidth="1"/>
    <col min="4115" max="4115" width="14.33203125" style="2" customWidth="1"/>
    <col min="4116" max="4116" width="4" style="2" customWidth="1"/>
    <col min="4117" max="4368" width="7.6640625" style="2" customWidth="1"/>
    <col min="4369" max="4369" width="14.33203125" style="2" customWidth="1"/>
    <col min="4370" max="4370" width="4" style="2" customWidth="1"/>
    <col min="4371" max="4371" width="14.33203125" style="2" customWidth="1"/>
    <col min="4372" max="4372" width="4" style="2" customWidth="1"/>
    <col min="4373" max="4624" width="7.6640625" style="2" customWidth="1"/>
    <col min="4625" max="4625" width="14.33203125" style="2" customWidth="1"/>
    <col min="4626" max="4626" width="4" style="2" customWidth="1"/>
    <col min="4627" max="4627" width="14.33203125" style="2" customWidth="1"/>
    <col min="4628" max="4628" width="4" style="2" customWidth="1"/>
    <col min="4629" max="4880" width="7.6640625" style="2" customWidth="1"/>
    <col min="4881" max="4881" width="14.33203125" style="2" customWidth="1"/>
    <col min="4882" max="4882" width="4" style="2" customWidth="1"/>
    <col min="4883" max="4883" width="14.33203125" style="2" customWidth="1"/>
    <col min="4884" max="4884" width="4" style="2" customWidth="1"/>
    <col min="4885" max="5136" width="7.6640625" style="2" customWidth="1"/>
    <col min="5137" max="5137" width="14.33203125" style="2" customWidth="1"/>
    <col min="5138" max="5138" width="4" style="2" customWidth="1"/>
    <col min="5139" max="5139" width="14.33203125" style="2" customWidth="1"/>
    <col min="5140" max="5140" width="4" style="2" customWidth="1"/>
    <col min="5141" max="5392" width="7.6640625" style="2" customWidth="1"/>
    <col min="5393" max="5393" width="14.33203125" style="2" customWidth="1"/>
    <col min="5394" max="5394" width="4" style="2" customWidth="1"/>
    <col min="5395" max="5395" width="14.33203125" style="2" customWidth="1"/>
    <col min="5396" max="5396" width="4" style="2" customWidth="1"/>
    <col min="5397" max="5648" width="7.6640625" style="2" customWidth="1"/>
    <col min="5649" max="5649" width="14.33203125" style="2" customWidth="1"/>
    <col min="5650" max="5650" width="4" style="2" customWidth="1"/>
    <col min="5651" max="5651" width="14.33203125" style="2" customWidth="1"/>
    <col min="5652" max="5652" width="4" style="2" customWidth="1"/>
    <col min="5653" max="5904" width="7.6640625" style="2" customWidth="1"/>
    <col min="5905" max="5905" width="14.33203125" style="2" customWidth="1"/>
    <col min="5906" max="5906" width="4" style="2" customWidth="1"/>
    <col min="5907" max="5907" width="14.33203125" style="2" customWidth="1"/>
    <col min="5908" max="5908" width="4" style="2" customWidth="1"/>
    <col min="5909" max="6160" width="7.6640625" style="2" customWidth="1"/>
    <col min="6161" max="6161" width="14.33203125" style="2" customWidth="1"/>
    <col min="6162" max="6162" width="4" style="2" customWidth="1"/>
    <col min="6163" max="6163" width="14.33203125" style="2" customWidth="1"/>
    <col min="6164" max="6164" width="4" style="2" customWidth="1"/>
    <col min="6165" max="6416" width="7.6640625" style="2" customWidth="1"/>
    <col min="6417" max="6417" width="14.33203125" style="2" customWidth="1"/>
    <col min="6418" max="6418" width="4" style="2" customWidth="1"/>
    <col min="6419" max="6419" width="14.33203125" style="2" customWidth="1"/>
    <col min="6420" max="6420" width="4" style="2" customWidth="1"/>
    <col min="6421" max="6672" width="7.6640625" style="2" customWidth="1"/>
    <col min="6673" max="6673" width="14.33203125" style="2" customWidth="1"/>
    <col min="6674" max="6674" width="4" style="2" customWidth="1"/>
    <col min="6675" max="6675" width="14.33203125" style="2" customWidth="1"/>
    <col min="6676" max="6676" width="4" style="2" customWidth="1"/>
    <col min="6677" max="6928" width="7.6640625" style="2" customWidth="1"/>
    <col min="6929" max="6929" width="14.33203125" style="2" customWidth="1"/>
    <col min="6930" max="6930" width="4" style="2" customWidth="1"/>
    <col min="6931" max="6931" width="14.33203125" style="2" customWidth="1"/>
    <col min="6932" max="6932" width="4" style="2" customWidth="1"/>
    <col min="6933" max="7184" width="7.6640625" style="2" customWidth="1"/>
    <col min="7185" max="7185" width="14.33203125" style="2" customWidth="1"/>
    <col min="7186" max="7186" width="4" style="2" customWidth="1"/>
    <col min="7187" max="7187" width="14.33203125" style="2" customWidth="1"/>
    <col min="7188" max="7188" width="4" style="2" customWidth="1"/>
    <col min="7189" max="7440" width="7.6640625" style="2" customWidth="1"/>
    <col min="7441" max="7441" width="14.33203125" style="2" customWidth="1"/>
    <col min="7442" max="7442" width="4" style="2" customWidth="1"/>
    <col min="7443" max="7443" width="14.33203125" style="2" customWidth="1"/>
    <col min="7444" max="7444" width="4" style="2" customWidth="1"/>
    <col min="7445" max="7696" width="7.6640625" style="2" customWidth="1"/>
    <col min="7697" max="7697" width="14.33203125" style="2" customWidth="1"/>
    <col min="7698" max="7698" width="4" style="2" customWidth="1"/>
    <col min="7699" max="7699" width="14.33203125" style="2" customWidth="1"/>
    <col min="7700" max="7700" width="4" style="2" customWidth="1"/>
    <col min="7701" max="7952" width="7.6640625" style="2" customWidth="1"/>
    <col min="7953" max="7953" width="14.33203125" style="2" customWidth="1"/>
    <col min="7954" max="7954" width="4" style="2" customWidth="1"/>
    <col min="7955" max="7955" width="14.33203125" style="2" customWidth="1"/>
    <col min="7956" max="7956" width="4" style="2" customWidth="1"/>
    <col min="7957" max="8208" width="7.6640625" style="2" customWidth="1"/>
    <col min="8209" max="8209" width="14.33203125" style="2" customWidth="1"/>
    <col min="8210" max="8210" width="4" style="2" customWidth="1"/>
    <col min="8211" max="8211" width="14.33203125" style="2" customWidth="1"/>
    <col min="8212" max="8212" width="4" style="2" customWidth="1"/>
    <col min="8213" max="8464" width="7.6640625" style="2" customWidth="1"/>
    <col min="8465" max="8465" width="14.33203125" style="2" customWidth="1"/>
    <col min="8466" max="8466" width="4" style="2" customWidth="1"/>
    <col min="8467" max="8467" width="14.33203125" style="2" customWidth="1"/>
    <col min="8468" max="8468" width="4" style="2" customWidth="1"/>
    <col min="8469" max="8720" width="7.6640625" style="2" customWidth="1"/>
    <col min="8721" max="8721" width="14.33203125" style="2" customWidth="1"/>
    <col min="8722" max="8722" width="4" style="2" customWidth="1"/>
    <col min="8723" max="8723" width="14.33203125" style="2" customWidth="1"/>
    <col min="8724" max="8724" width="4" style="2" customWidth="1"/>
    <col min="8725" max="8976" width="7.6640625" style="2" customWidth="1"/>
    <col min="8977" max="8977" width="14.33203125" style="2" customWidth="1"/>
    <col min="8978" max="8978" width="4" style="2" customWidth="1"/>
    <col min="8979" max="8979" width="14.33203125" style="2" customWidth="1"/>
    <col min="8980" max="8980" width="4" style="2" customWidth="1"/>
    <col min="8981" max="9232" width="7.6640625" style="2" customWidth="1"/>
    <col min="9233" max="9233" width="14.33203125" style="2" customWidth="1"/>
    <col min="9234" max="9234" width="4" style="2" customWidth="1"/>
    <col min="9235" max="9235" width="14.33203125" style="2" customWidth="1"/>
    <col min="9236" max="9236" width="4" style="2" customWidth="1"/>
    <col min="9237" max="9488" width="7.6640625" style="2" customWidth="1"/>
    <col min="9489" max="9489" width="14.33203125" style="2" customWidth="1"/>
    <col min="9490" max="9490" width="4" style="2" customWidth="1"/>
    <col min="9491" max="9491" width="14.33203125" style="2" customWidth="1"/>
    <col min="9492" max="9492" width="4" style="2" customWidth="1"/>
    <col min="9493" max="9744" width="7.6640625" style="2" customWidth="1"/>
    <col min="9745" max="9745" width="14.33203125" style="2" customWidth="1"/>
    <col min="9746" max="9746" width="4" style="2" customWidth="1"/>
    <col min="9747" max="9747" width="14.33203125" style="2" customWidth="1"/>
    <col min="9748" max="9748" width="4" style="2" customWidth="1"/>
    <col min="9749" max="10000" width="7.6640625" style="2" customWidth="1"/>
    <col min="10001" max="10001" width="14.33203125" style="2" customWidth="1"/>
    <col min="10002" max="10002" width="4" style="2" customWidth="1"/>
    <col min="10003" max="10003" width="14.33203125" style="2" customWidth="1"/>
    <col min="10004" max="10004" width="4" style="2" customWidth="1"/>
    <col min="10005" max="10256" width="7.6640625" style="2" customWidth="1"/>
    <col min="10257" max="10257" width="14.33203125" style="2" customWidth="1"/>
    <col min="10258" max="10258" width="4" style="2" customWidth="1"/>
    <col min="10259" max="10259" width="14.33203125" style="2" customWidth="1"/>
    <col min="10260" max="10260" width="4" style="2" customWidth="1"/>
    <col min="10261" max="10512" width="7.6640625" style="2" customWidth="1"/>
    <col min="10513" max="10513" width="14.33203125" style="2" customWidth="1"/>
    <col min="10514" max="10514" width="4" style="2" customWidth="1"/>
    <col min="10515" max="10515" width="14.33203125" style="2" customWidth="1"/>
    <col min="10516" max="10516" width="4" style="2" customWidth="1"/>
    <col min="10517" max="10768" width="7.6640625" style="2" customWidth="1"/>
    <col min="10769" max="10769" width="14.33203125" style="2" customWidth="1"/>
    <col min="10770" max="10770" width="4" style="2" customWidth="1"/>
    <col min="10771" max="10771" width="14.33203125" style="2" customWidth="1"/>
    <col min="10772" max="10772" width="4" style="2" customWidth="1"/>
    <col min="10773" max="11024" width="7.6640625" style="2" customWidth="1"/>
    <col min="11025" max="11025" width="14.33203125" style="2" customWidth="1"/>
    <col min="11026" max="11026" width="4" style="2" customWidth="1"/>
    <col min="11027" max="11027" width="14.33203125" style="2" customWidth="1"/>
    <col min="11028" max="11028" width="4" style="2" customWidth="1"/>
    <col min="11029" max="11280" width="7.6640625" style="2" customWidth="1"/>
    <col min="11281" max="11281" width="14.33203125" style="2" customWidth="1"/>
    <col min="11282" max="11282" width="4" style="2" customWidth="1"/>
    <col min="11283" max="11283" width="14.33203125" style="2" customWidth="1"/>
    <col min="11284" max="11284" width="4" style="2" customWidth="1"/>
    <col min="11285" max="11536" width="7.6640625" style="2" customWidth="1"/>
    <col min="11537" max="11537" width="14.33203125" style="2" customWidth="1"/>
    <col min="11538" max="11538" width="4" style="2" customWidth="1"/>
    <col min="11539" max="11539" width="14.33203125" style="2" customWidth="1"/>
    <col min="11540" max="11540" width="4" style="2" customWidth="1"/>
    <col min="11541" max="11792" width="7.6640625" style="2" customWidth="1"/>
    <col min="11793" max="11793" width="14.33203125" style="2" customWidth="1"/>
    <col min="11794" max="11794" width="4" style="2" customWidth="1"/>
    <col min="11795" max="11795" width="14.33203125" style="2" customWidth="1"/>
    <col min="11796" max="11796" width="4" style="2" customWidth="1"/>
    <col min="11797" max="12048" width="7.6640625" style="2" customWidth="1"/>
    <col min="12049" max="12049" width="14.33203125" style="2" customWidth="1"/>
    <col min="12050" max="12050" width="4" style="2" customWidth="1"/>
    <col min="12051" max="12051" width="14.33203125" style="2" customWidth="1"/>
    <col min="12052" max="12052" width="4" style="2" customWidth="1"/>
    <col min="12053" max="12304" width="7.6640625" style="2" customWidth="1"/>
    <col min="12305" max="12305" width="14.33203125" style="2" customWidth="1"/>
    <col min="12306" max="12306" width="4" style="2" customWidth="1"/>
    <col min="12307" max="12307" width="14.33203125" style="2" customWidth="1"/>
    <col min="12308" max="12308" width="4" style="2" customWidth="1"/>
    <col min="12309" max="12560" width="7.6640625" style="2" customWidth="1"/>
    <col min="12561" max="12561" width="14.33203125" style="2" customWidth="1"/>
    <col min="12562" max="12562" width="4" style="2" customWidth="1"/>
    <col min="12563" max="12563" width="14.33203125" style="2" customWidth="1"/>
    <col min="12564" max="12564" width="4" style="2" customWidth="1"/>
    <col min="12565" max="12816" width="7.6640625" style="2" customWidth="1"/>
    <col min="12817" max="12817" width="14.33203125" style="2" customWidth="1"/>
    <col min="12818" max="12818" width="4" style="2" customWidth="1"/>
    <col min="12819" max="12819" width="14.33203125" style="2" customWidth="1"/>
    <col min="12820" max="12820" width="4" style="2" customWidth="1"/>
    <col min="12821" max="13072" width="7.6640625" style="2" customWidth="1"/>
    <col min="13073" max="13073" width="14.33203125" style="2" customWidth="1"/>
    <col min="13074" max="13074" width="4" style="2" customWidth="1"/>
    <col min="13075" max="13075" width="14.33203125" style="2" customWidth="1"/>
    <col min="13076" max="13076" width="4" style="2" customWidth="1"/>
    <col min="13077" max="13328" width="7.6640625" style="2" customWidth="1"/>
    <col min="13329" max="13329" width="14.33203125" style="2" customWidth="1"/>
    <col min="13330" max="13330" width="4" style="2" customWidth="1"/>
    <col min="13331" max="13331" width="14.33203125" style="2" customWidth="1"/>
    <col min="13332" max="13332" width="4" style="2" customWidth="1"/>
    <col min="13333" max="13584" width="7.6640625" style="2" customWidth="1"/>
    <col min="13585" max="13585" width="14.33203125" style="2" customWidth="1"/>
    <col min="13586" max="13586" width="4" style="2" customWidth="1"/>
    <col min="13587" max="13587" width="14.33203125" style="2" customWidth="1"/>
    <col min="13588" max="13588" width="4" style="2" customWidth="1"/>
    <col min="13589" max="13840" width="7.6640625" style="2" customWidth="1"/>
    <col min="13841" max="13841" width="14.33203125" style="2" customWidth="1"/>
    <col min="13842" max="13842" width="4" style="2" customWidth="1"/>
    <col min="13843" max="13843" width="14.33203125" style="2" customWidth="1"/>
    <col min="13844" max="13844" width="4" style="2" customWidth="1"/>
    <col min="13845" max="14096" width="7.6640625" style="2" customWidth="1"/>
    <col min="14097" max="14097" width="14.33203125" style="2" customWidth="1"/>
    <col min="14098" max="14098" width="4" style="2" customWidth="1"/>
    <col min="14099" max="14099" width="14.33203125" style="2" customWidth="1"/>
    <col min="14100" max="14100" width="4" style="2" customWidth="1"/>
    <col min="14101" max="14352" width="7.6640625" style="2" customWidth="1"/>
    <col min="14353" max="14353" width="14.33203125" style="2" customWidth="1"/>
    <col min="14354" max="14354" width="4" style="2" customWidth="1"/>
    <col min="14355" max="14355" width="14.33203125" style="2" customWidth="1"/>
    <col min="14356" max="14356" width="4" style="2" customWidth="1"/>
    <col min="14357" max="14608" width="7.6640625" style="2" customWidth="1"/>
    <col min="14609" max="14609" width="14.33203125" style="2" customWidth="1"/>
    <col min="14610" max="14610" width="4" style="2" customWidth="1"/>
    <col min="14611" max="14611" width="14.33203125" style="2" customWidth="1"/>
    <col min="14612" max="14612" width="4" style="2" customWidth="1"/>
    <col min="14613" max="14864" width="7.6640625" style="2" customWidth="1"/>
    <col min="14865" max="14865" width="14.33203125" style="2" customWidth="1"/>
    <col min="14866" max="14866" width="4" style="2" customWidth="1"/>
    <col min="14867" max="14867" width="14.33203125" style="2" customWidth="1"/>
    <col min="14868" max="14868" width="4" style="2" customWidth="1"/>
    <col min="14869" max="15120" width="7.6640625" style="2" customWidth="1"/>
    <col min="15121" max="15121" width="14.33203125" style="2" customWidth="1"/>
    <col min="15122" max="15122" width="4" style="2" customWidth="1"/>
    <col min="15123" max="15123" width="14.33203125" style="2" customWidth="1"/>
    <col min="15124" max="15124" width="4" style="2" customWidth="1"/>
    <col min="15125" max="15376" width="7.6640625" style="2" customWidth="1"/>
    <col min="15377" max="15377" width="14.33203125" style="2" customWidth="1"/>
    <col min="15378" max="15378" width="4" style="2" customWidth="1"/>
    <col min="15379" max="15379" width="14.33203125" style="2" customWidth="1"/>
    <col min="15380" max="15380" width="4" style="2" customWidth="1"/>
    <col min="15381" max="15632" width="7.6640625" style="2" customWidth="1"/>
    <col min="15633" max="15633" width="14.33203125" style="2" customWidth="1"/>
    <col min="15634" max="15634" width="4" style="2" customWidth="1"/>
    <col min="15635" max="15635" width="14.33203125" style="2" customWidth="1"/>
    <col min="15636" max="15636" width="4" style="2" customWidth="1"/>
    <col min="15637" max="15888" width="7.6640625" style="2" customWidth="1"/>
    <col min="15889" max="15889" width="14.33203125" style="2" customWidth="1"/>
    <col min="15890" max="15890" width="4" style="2" customWidth="1"/>
    <col min="15891" max="15891" width="14.33203125" style="2" customWidth="1"/>
    <col min="15892" max="15892" width="4" style="2" customWidth="1"/>
    <col min="15893" max="16144" width="7.6640625" style="2" customWidth="1"/>
    <col min="16145" max="16145" width="14.33203125" style="2" customWidth="1"/>
    <col min="16146" max="16146" width="4" style="2" customWidth="1"/>
    <col min="16147" max="16147" width="14.33203125" style="2" customWidth="1"/>
    <col min="16148" max="16148" width="4" style="2" customWidth="1"/>
    <col min="16149" max="16384" width="7.6640625" style="2" customWidth="1"/>
  </cols>
  <sheetData>
    <row r="1" spans="1:32" ht="15" customHeight="1" x14ac:dyDescent="0.3">
      <c r="A1" s="86"/>
      <c r="B1" s="86"/>
      <c r="C1" s="86"/>
      <c r="D1" s="86"/>
      <c r="E1" s="1"/>
      <c r="F1" s="1"/>
      <c r="G1" s="1"/>
      <c r="H1" s="1"/>
      <c r="I1" s="80"/>
      <c r="J1" s="80"/>
      <c r="K1" s="80"/>
      <c r="L1" s="80"/>
      <c r="M1" s="80"/>
      <c r="N1" s="281"/>
      <c r="O1" s="80"/>
      <c r="P1" s="1"/>
      <c r="Q1" s="1"/>
      <c r="R1" s="1"/>
      <c r="S1" s="1"/>
      <c r="T1" s="1"/>
      <c r="U1" s="1"/>
      <c r="V1" s="1"/>
    </row>
    <row r="2" spans="1:32" ht="15" customHeight="1" x14ac:dyDescent="0.3">
      <c r="A2" s="589" t="s">
        <v>174</v>
      </c>
      <c r="B2" s="155"/>
      <c r="C2" s="10"/>
      <c r="D2" s="159"/>
      <c r="E2" s="3"/>
      <c r="F2" s="3"/>
      <c r="G2" s="3"/>
      <c r="H2" s="589"/>
      <c r="I2" s="77"/>
      <c r="J2" s="77"/>
      <c r="K2" s="77"/>
      <c r="L2" s="77"/>
      <c r="M2" s="77"/>
      <c r="N2" s="278"/>
      <c r="O2" s="77"/>
      <c r="P2" s="275"/>
      <c r="Q2" s="3"/>
      <c r="R2" s="3"/>
      <c r="S2" s="3"/>
      <c r="T2" s="3"/>
      <c r="U2" s="3"/>
      <c r="V2" s="3"/>
    </row>
    <row r="3" spans="1:32" ht="15" customHeight="1" x14ac:dyDescent="0.3">
      <c r="A3" s="615" t="s">
        <v>445</v>
      </c>
      <c r="B3" s="155"/>
      <c r="C3" s="10"/>
      <c r="D3" s="159"/>
      <c r="E3" s="3"/>
      <c r="F3" s="3"/>
      <c r="G3" s="3"/>
      <c r="H3" s="615"/>
      <c r="I3" s="181"/>
      <c r="J3" s="181"/>
      <c r="K3" s="181"/>
      <c r="L3" s="181"/>
      <c r="M3" s="181"/>
      <c r="N3" s="278"/>
      <c r="O3" s="181"/>
      <c r="P3" s="279"/>
      <c r="Q3" s="22"/>
      <c r="R3" s="3"/>
      <c r="S3" s="3"/>
      <c r="T3" s="3"/>
      <c r="U3" s="3"/>
      <c r="V3" s="3"/>
    </row>
    <row r="4" spans="1:32" ht="15" customHeight="1" x14ac:dyDescent="0.3">
      <c r="A4" s="594" t="str">
        <f>Overview!$B$7</f>
        <v>Grove Park Drive</v>
      </c>
      <c r="B4" s="76"/>
      <c r="C4" s="3"/>
      <c r="D4" s="3"/>
      <c r="E4" s="3"/>
      <c r="F4" s="3"/>
      <c r="G4" s="3"/>
      <c r="H4" s="3"/>
      <c r="I4" s="77"/>
      <c r="J4" s="77"/>
      <c r="K4" s="77"/>
      <c r="L4" s="77"/>
      <c r="M4" s="77"/>
      <c r="N4" s="278"/>
      <c r="O4" s="77"/>
      <c r="P4" s="279"/>
      <c r="Q4" s="279"/>
      <c r="R4" s="3"/>
      <c r="S4" s="3"/>
      <c r="T4" s="276"/>
      <c r="U4" s="3"/>
      <c r="V4" s="3"/>
    </row>
    <row r="5" spans="1:32" ht="15" customHeight="1" x14ac:dyDescent="0.3">
      <c r="A5" s="594"/>
      <c r="B5" s="687"/>
      <c r="C5" s="3"/>
      <c r="D5" s="3"/>
      <c r="E5" s="3"/>
      <c r="F5" s="3"/>
      <c r="G5" s="3"/>
      <c r="I5" s="693"/>
      <c r="J5" s="693"/>
      <c r="K5" s="693"/>
      <c r="L5" s="693"/>
      <c r="M5" s="693"/>
      <c r="N5" s="278"/>
      <c r="O5" s="693"/>
      <c r="P5" s="279"/>
      <c r="Q5" s="279"/>
      <c r="R5" s="3"/>
      <c r="S5" s="3"/>
      <c r="T5" s="276"/>
      <c r="U5" s="3"/>
      <c r="V5" s="3"/>
    </row>
    <row r="6" spans="1:32" ht="15" customHeight="1" x14ac:dyDescent="0.3">
      <c r="A6" s="26" t="s">
        <v>145</v>
      </c>
      <c r="B6" s="156"/>
      <c r="C6" s="19"/>
      <c r="D6" s="19"/>
      <c r="E6" s="19"/>
      <c r="F6" s="19"/>
      <c r="G6" s="19"/>
      <c r="H6" s="19"/>
      <c r="I6" s="154"/>
      <c r="J6" s="154"/>
      <c r="K6" s="154"/>
      <c r="L6" s="154"/>
      <c r="M6" s="154"/>
      <c r="N6" s="279"/>
      <c r="O6" s="154"/>
      <c r="P6" s="279"/>
      <c r="Q6" s="279"/>
      <c r="R6" s="19"/>
      <c r="S6" s="19"/>
      <c r="T6" s="279"/>
      <c r="U6" s="280"/>
      <c r="V6" s="19"/>
    </row>
    <row r="7" spans="1:32" s="151" customFormat="1" ht="43.95" customHeight="1" thickBot="1" x14ac:dyDescent="0.35">
      <c r="A7" s="152" t="s">
        <v>162</v>
      </c>
      <c r="B7" s="152" t="s">
        <v>146</v>
      </c>
      <c r="C7" s="152" t="s">
        <v>20</v>
      </c>
      <c r="D7" s="152" t="s">
        <v>147</v>
      </c>
      <c r="E7" s="152" t="s">
        <v>148</v>
      </c>
      <c r="F7" s="152" t="s">
        <v>149</v>
      </c>
      <c r="G7" s="152" t="s">
        <v>21</v>
      </c>
      <c r="H7" s="157" t="s">
        <v>25</v>
      </c>
      <c r="I7" s="152" t="s">
        <v>13</v>
      </c>
      <c r="J7" s="152" t="s">
        <v>150</v>
      </c>
      <c r="K7" s="152" t="s">
        <v>14</v>
      </c>
      <c r="L7" s="152" t="s">
        <v>151</v>
      </c>
      <c r="M7" s="152" t="s">
        <v>152</v>
      </c>
      <c r="N7" s="153" t="s">
        <v>153</v>
      </c>
      <c r="O7" s="152" t="s">
        <v>154</v>
      </c>
      <c r="P7" s="152" t="s">
        <v>155</v>
      </c>
      <c r="Q7" s="152" t="s">
        <v>156</v>
      </c>
      <c r="R7" s="152" t="s">
        <v>157</v>
      </c>
      <c r="S7" s="153" t="s">
        <v>158</v>
      </c>
      <c r="T7" s="152" t="s">
        <v>159</v>
      </c>
      <c r="U7" s="152" t="s">
        <v>160</v>
      </c>
      <c r="V7" s="152" t="s">
        <v>161</v>
      </c>
      <c r="X7" s="2"/>
      <c r="Y7" s="2"/>
      <c r="Z7" s="2"/>
      <c r="AA7" s="2"/>
      <c r="AB7" s="2"/>
      <c r="AC7" s="2"/>
      <c r="AD7" s="2"/>
      <c r="AE7" s="2"/>
      <c r="AF7" s="2"/>
    </row>
    <row r="8" spans="1:32" ht="15" customHeight="1" x14ac:dyDescent="0.3">
      <c r="A8" s="470">
        <f>'Scheme Entry - Baseline'!T49</f>
        <v>0.1111111111111111</v>
      </c>
      <c r="B8" s="471">
        <v>1</v>
      </c>
      <c r="C8" s="472" t="str">
        <f>'Scheme Entry - Baseline'!C49</f>
        <v>Start</v>
      </c>
      <c r="D8" s="472" t="str">
        <f>'Scheme Entry - Baseline'!G49</f>
        <v>to jct 1</v>
      </c>
      <c r="E8" s="471">
        <f>'Scheme Entry - Baseline'!K49</f>
        <v>0</v>
      </c>
      <c r="F8" s="471">
        <f>'Scheme Entry - Baseline'!N49</f>
        <v>5</v>
      </c>
      <c r="G8" s="471">
        <f>'Scheme Entry - Baseline'!Q49</f>
        <v>5</v>
      </c>
      <c r="H8" s="471">
        <f>'Scheme Entry - Baseline'!W49</f>
        <v>75</v>
      </c>
      <c r="I8" s="889">
        <f>'Scheme Entry - Baseline'!I19</f>
        <v>2019</v>
      </c>
      <c r="J8" s="890">
        <f>'Scheme Entry - Baseline'!L19</f>
        <v>0.67683936202868722</v>
      </c>
      <c r="K8" s="471">
        <f>'Scheme Entry - Baseline'!I21</f>
        <v>2021</v>
      </c>
      <c r="L8" s="890">
        <f>'Scheme Entry - Baseline'!L21</f>
        <v>0.61391325354075932</v>
      </c>
      <c r="M8" s="891">
        <f>(G8*H8*'Scheme Entry - Baseline'!I13*'Scheme Entry - Baseline'!$I$40*'Scheme Entry - Baseline'!$W$34*'Scheme Entry - Baseline'!$I$34)/1000</f>
        <v>4.8875485218987283E-2</v>
      </c>
      <c r="N8" s="892">
        <f>M8*L8*'Scheme Entry - Baseline'!I36*'Scheme Entry - Baseline'!I11</f>
        <v>118636.22492278977</v>
      </c>
      <c r="O8" s="471">
        <f>'Scheme Entry - Baseline'!I17</f>
        <v>2016</v>
      </c>
      <c r="P8" s="474">
        <f>('Capital Expenditure'!J28)*('Scheme Entry - Baseline'!$O$15/'Scheme Entry - Baseline'!$O$19)*L8*A8</f>
        <v>629422.89686123806</v>
      </c>
      <c r="Q8" s="474">
        <f>(('Operational Expenditure'!$I$13*('Scheme Entry - Baseline'!$O$15/'Scheme Entry - Baseline'!$O$21)*L8)*'Scheme Entry - Baseline'!$I$7*A8)</f>
        <v>312831.00745286519</v>
      </c>
      <c r="R8" s="893">
        <f>P8+Q8</f>
        <v>942253.9043141033</v>
      </c>
      <c r="S8" s="474">
        <f>N8-R8</f>
        <v>-823617.67939131358</v>
      </c>
      <c r="T8" s="475">
        <f>N8/R8</f>
        <v>0.12590685417127442</v>
      </c>
      <c r="U8" s="894">
        <f>(M8*'Scheme Entry - Baseline'!$I$36)/R8</f>
        <v>1.1166257863507684E-2</v>
      </c>
      <c r="V8" s="570">
        <f>M8*'Scheme Entry - Baseline'!$I$9</f>
        <v>1.6767095641526888</v>
      </c>
    </row>
    <row r="9" spans="1:32" ht="15" customHeight="1" x14ac:dyDescent="0.3">
      <c r="A9" s="724">
        <f>'Scheme Entry - Baseline'!T50</f>
        <v>0.22222222222222221</v>
      </c>
      <c r="B9" s="206">
        <v>2</v>
      </c>
      <c r="C9" s="203" t="str">
        <f>'Scheme Entry - Baseline'!C50</f>
        <v>from jct 1</v>
      </c>
      <c r="D9" s="203" t="str">
        <f>'Scheme Entry - Baseline'!G50</f>
        <v>to jct 2</v>
      </c>
      <c r="E9" s="202">
        <f>'Scheme Entry - Baseline'!K50</f>
        <v>5</v>
      </c>
      <c r="F9" s="202">
        <f>'Scheme Entry - Baseline'!N50</f>
        <v>15</v>
      </c>
      <c r="G9" s="202">
        <f>'Scheme Entry - Baseline'!Q50</f>
        <v>10</v>
      </c>
      <c r="H9" s="202">
        <f>'Scheme Entry - Baseline'!W50</f>
        <v>75</v>
      </c>
      <c r="I9" s="204">
        <f>'Scheme Entry - Baseline'!I19</f>
        <v>2019</v>
      </c>
      <c r="J9" s="266">
        <f>'Scheme Entry - Baseline'!L19</f>
        <v>0.67683936202868722</v>
      </c>
      <c r="K9" s="206">
        <f>'Scheme Entry - Baseline'!I21</f>
        <v>2021</v>
      </c>
      <c r="L9" s="266">
        <f>'Scheme Entry - Baseline'!L21</f>
        <v>0.61391325354075932</v>
      </c>
      <c r="M9" s="268">
        <f>(G9*H9*'Scheme Entry - Baseline'!I13*'Scheme Entry - Baseline'!$I$40*'Scheme Entry - Baseline'!$W$34*'Scheme Entry - Baseline'!$I$34)/1000</f>
        <v>9.7750970437974566E-2</v>
      </c>
      <c r="N9" s="439">
        <f>M9*L9*'Scheme Entry - Baseline'!I36*'Scheme Entry - Baseline'!I11</f>
        <v>237272.44984557954</v>
      </c>
      <c r="O9" s="206">
        <f>'Scheme Entry - Baseline'!I17</f>
        <v>2016</v>
      </c>
      <c r="P9" s="205">
        <f>('Capital Expenditure'!J28)*('Scheme Entry - Baseline'!$O$15/'Scheme Entry - Baseline'!$O$19)*L9*A9</f>
        <v>1258845.7937224761</v>
      </c>
      <c r="Q9" s="205">
        <f>(('Operational Expenditure'!$I$13*('Scheme Entry - Baseline'!$O$15/'Scheme Entry - Baseline'!$O$21)*L9)*'Scheme Entry - Baseline'!$I$7*A9)</f>
        <v>625662.01490573038</v>
      </c>
      <c r="R9" s="282">
        <f t="shared" ref="R9:R11" si="0">P9+Q9</f>
        <v>1884507.8086282066</v>
      </c>
      <c r="S9" s="205">
        <f t="shared" ref="S9:S11" si="1">N9-R9</f>
        <v>-1647235.3587826272</v>
      </c>
      <c r="T9" s="283">
        <f>N9/R9</f>
        <v>0.12590685417127442</v>
      </c>
      <c r="U9" s="511">
        <f>(M9*'Scheme Entry - Baseline'!$I$36)/R9</f>
        <v>1.1166257863507684E-2</v>
      </c>
      <c r="V9" s="574">
        <f>M9*'Scheme Entry - Baseline'!$I$9</f>
        <v>3.3534191283053776</v>
      </c>
    </row>
    <row r="10" spans="1:32" ht="15" customHeight="1" x14ac:dyDescent="0.3">
      <c r="A10" s="724">
        <f>'Scheme Entry - Baseline'!T51</f>
        <v>0.22222222222222221</v>
      </c>
      <c r="B10" s="206">
        <v>3</v>
      </c>
      <c r="C10" s="203" t="str">
        <f>'Scheme Entry - Baseline'!C51</f>
        <v>from jct 2</v>
      </c>
      <c r="D10" s="203" t="str">
        <f>'Scheme Entry - Baseline'!G51</f>
        <v>to jct 3</v>
      </c>
      <c r="E10" s="202">
        <f>'Scheme Entry - Baseline'!K51</f>
        <v>15</v>
      </c>
      <c r="F10" s="202">
        <f>'Scheme Entry - Baseline'!N51</f>
        <v>25</v>
      </c>
      <c r="G10" s="202">
        <f>'Scheme Entry - Baseline'!Q51</f>
        <v>10</v>
      </c>
      <c r="H10" s="202">
        <f>'Scheme Entry - Baseline'!W51</f>
        <v>75</v>
      </c>
      <c r="I10" s="207">
        <f>'Scheme Entry - Baseline'!I19</f>
        <v>2019</v>
      </c>
      <c r="J10" s="266">
        <f>'Scheme Entry - Baseline'!L19</f>
        <v>0.67683936202868722</v>
      </c>
      <c r="K10" s="206">
        <f>'Scheme Entry - Baseline'!I21</f>
        <v>2021</v>
      </c>
      <c r="L10" s="266">
        <f>'Scheme Entry - Baseline'!L21</f>
        <v>0.61391325354075932</v>
      </c>
      <c r="M10" s="268">
        <f>(G10*H10*'Scheme Entry - Baseline'!I13*'Scheme Entry - Baseline'!$I$40*'Scheme Entry - Baseline'!$W$34*'Scheme Entry - Baseline'!$I$34)/1000</f>
        <v>9.7750970437974566E-2</v>
      </c>
      <c r="N10" s="439">
        <f>M10*L10*'Scheme Entry - Baseline'!I36*'Scheme Entry - Baseline'!I11</f>
        <v>237272.44984557954</v>
      </c>
      <c r="O10" s="206">
        <f>'Scheme Entry - Baseline'!I17</f>
        <v>2016</v>
      </c>
      <c r="P10" s="205">
        <f>('Capital Expenditure'!J28)*('Scheme Entry - Baseline'!$O$15/'Scheme Entry - Baseline'!$O$19)*L10*A10</f>
        <v>1258845.7937224761</v>
      </c>
      <c r="Q10" s="205">
        <f>(('Operational Expenditure'!$I$13*('Scheme Entry - Baseline'!$O$15/'Scheme Entry - Baseline'!$O$21)*L10)*'Scheme Entry - Baseline'!$I$7*A10)</f>
        <v>625662.01490573038</v>
      </c>
      <c r="R10" s="282">
        <f t="shared" si="0"/>
        <v>1884507.8086282066</v>
      </c>
      <c r="S10" s="205">
        <f t="shared" si="1"/>
        <v>-1647235.3587826272</v>
      </c>
      <c r="T10" s="283">
        <f t="shared" ref="T10:T11" si="2">N10/R10</f>
        <v>0.12590685417127442</v>
      </c>
      <c r="U10" s="511">
        <f>(M10*'Scheme Entry - Baseline'!$I$36)/R10</f>
        <v>1.1166257863507684E-2</v>
      </c>
      <c r="V10" s="574">
        <f>M10*'Scheme Entry - Baseline'!$I$9</f>
        <v>3.3534191283053776</v>
      </c>
    </row>
    <row r="11" spans="1:32" ht="15" customHeight="1" x14ac:dyDescent="0.3">
      <c r="A11" s="724">
        <f>'Scheme Entry - Baseline'!T52</f>
        <v>0.22222222222222221</v>
      </c>
      <c r="B11" s="206">
        <v>4</v>
      </c>
      <c r="C11" s="203" t="str">
        <f>'Scheme Entry - Baseline'!C52</f>
        <v>from jct 3</v>
      </c>
      <c r="D11" s="203" t="str">
        <f>'Scheme Entry - Baseline'!G52</f>
        <v>to jct 4</v>
      </c>
      <c r="E11" s="202">
        <f>'Scheme Entry - Baseline'!K52</f>
        <v>25</v>
      </c>
      <c r="F11" s="202">
        <f>'Scheme Entry - Baseline'!N52</f>
        <v>35</v>
      </c>
      <c r="G11" s="202">
        <f>'Scheme Entry - Baseline'!Q52</f>
        <v>10</v>
      </c>
      <c r="H11" s="202">
        <f>'Scheme Entry - Baseline'!W52</f>
        <v>75</v>
      </c>
      <c r="I11" s="207">
        <f>'Scheme Entry - Baseline'!I19</f>
        <v>2019</v>
      </c>
      <c r="J11" s="266">
        <f>'Scheme Entry - Baseline'!L19</f>
        <v>0.67683936202868722</v>
      </c>
      <c r="K11" s="206">
        <f>'Scheme Entry - Baseline'!I21</f>
        <v>2021</v>
      </c>
      <c r="L11" s="266">
        <f>'Scheme Entry - Baseline'!L21</f>
        <v>0.61391325354075932</v>
      </c>
      <c r="M11" s="268">
        <f>(G11*H11*'Scheme Entry - Baseline'!I13*'Scheme Entry - Baseline'!$I$40*'Scheme Entry - Baseline'!$W$34*'Scheme Entry - Baseline'!$I$34)/1000</f>
        <v>9.7750970437974566E-2</v>
      </c>
      <c r="N11" s="439">
        <f>M11*L11*'Scheme Entry - Baseline'!I36*'Scheme Entry - Baseline'!I11</f>
        <v>237272.44984557954</v>
      </c>
      <c r="O11" s="206">
        <f>'Scheme Entry - Baseline'!I17</f>
        <v>2016</v>
      </c>
      <c r="P11" s="205">
        <f>('Capital Expenditure'!J28)*('Scheme Entry - Baseline'!$O$15/'Scheme Entry - Baseline'!$O$19)*L11*A11</f>
        <v>1258845.7937224761</v>
      </c>
      <c r="Q11" s="205">
        <f>(('Operational Expenditure'!$I$13*('Scheme Entry - Baseline'!$O$15/'Scheme Entry - Baseline'!$O$21)*L11)*'Scheme Entry - Baseline'!$I$7*A11)</f>
        <v>625662.01490573038</v>
      </c>
      <c r="R11" s="282">
        <f t="shared" si="0"/>
        <v>1884507.8086282066</v>
      </c>
      <c r="S11" s="205">
        <f t="shared" si="1"/>
        <v>-1647235.3587826272</v>
      </c>
      <c r="T11" s="283">
        <f t="shared" si="2"/>
        <v>0.12590685417127442</v>
      </c>
      <c r="U11" s="511">
        <f>(M11*'Scheme Entry - Baseline'!$I$36)/R11</f>
        <v>1.1166257863507684E-2</v>
      </c>
      <c r="V11" s="574">
        <f>M11*'Scheme Entry - Baseline'!$I$9</f>
        <v>3.3534191283053776</v>
      </c>
    </row>
    <row r="12" spans="1:32" ht="15" customHeight="1" thickBot="1" x14ac:dyDescent="0.35">
      <c r="A12" s="208">
        <f>'Scheme Entry - Baseline'!T53</f>
        <v>0.22222222222222221</v>
      </c>
      <c r="B12" s="209">
        <v>5</v>
      </c>
      <c r="C12" s="212" t="str">
        <f>'Scheme Entry - Baseline'!C53</f>
        <v>from jct 3</v>
      </c>
      <c r="D12" s="212" t="str">
        <f>'Scheme Entry - Baseline'!G53</f>
        <v>End</v>
      </c>
      <c r="E12" s="209">
        <f>'Scheme Entry - Baseline'!K53</f>
        <v>35</v>
      </c>
      <c r="F12" s="209">
        <f>'Scheme Entry - Baseline'!N53</f>
        <v>45</v>
      </c>
      <c r="G12" s="209">
        <f>'Scheme Entry - Baseline'!Q53</f>
        <v>10</v>
      </c>
      <c r="H12" s="209">
        <f>'Scheme Entry - Baseline'!W53</f>
        <v>75</v>
      </c>
      <c r="I12" s="210">
        <f>'Scheme Entry - Baseline'!I19</f>
        <v>2019</v>
      </c>
      <c r="J12" s="267">
        <f>'Scheme Entry - Baseline'!L19</f>
        <v>0.67683936202868722</v>
      </c>
      <c r="K12" s="209">
        <f>'Scheme Entry - Baseline'!I21</f>
        <v>2021</v>
      </c>
      <c r="L12" s="450">
        <f>'Scheme Entry - Baseline'!L21</f>
        <v>0.61391325354075932</v>
      </c>
      <c r="M12" s="476">
        <f>(G12*H12*'Scheme Entry - Baseline'!I13*'Scheme Entry - Baseline'!$I$40*'Scheme Entry - Baseline'!$W$34*'Scheme Entry - Baseline'!$I$34)/1000</f>
        <v>9.7750970437974566E-2</v>
      </c>
      <c r="N12" s="456">
        <f>M12*L12*'Scheme Entry - Baseline'!I36*'Scheme Entry - Baseline'!I11</f>
        <v>237272.44984557954</v>
      </c>
      <c r="O12" s="209">
        <f>'Scheme Entry - Baseline'!I17</f>
        <v>2016</v>
      </c>
      <c r="P12" s="211">
        <f>('Capital Expenditure'!J28)*('Scheme Entry - Baseline'!$O$15/'Scheme Entry - Baseline'!$O$19)*L12*A12</f>
        <v>1258845.7937224761</v>
      </c>
      <c r="Q12" s="211">
        <f>(('Operational Expenditure'!$I$13*('Scheme Entry - Baseline'!$O$15/'Scheme Entry - Baseline'!$O$21)*L12)*'Scheme Entry - Baseline'!$I$7*A12)</f>
        <v>625662.01490573038</v>
      </c>
      <c r="R12" s="284">
        <f>P12+Q12</f>
        <v>1884507.8086282066</v>
      </c>
      <c r="S12" s="211">
        <f>N12-R12</f>
        <v>-1647235.3587826272</v>
      </c>
      <c r="T12" s="285">
        <f>N12/R12</f>
        <v>0.12590685417127442</v>
      </c>
      <c r="U12" s="512">
        <f>(M12*'Scheme Entry - Baseline'!$I$36)/R12</f>
        <v>1.1166257863507684E-2</v>
      </c>
      <c r="V12" s="577">
        <f>M12*'Scheme Entry - Baseline'!$I$9</f>
        <v>3.3534191283053776</v>
      </c>
    </row>
    <row r="13" spans="1:32" ht="15" customHeight="1" x14ac:dyDescent="0.3">
      <c r="A13" s="3"/>
      <c r="B13" s="76"/>
      <c r="C13" s="3"/>
      <c r="D13" s="3"/>
      <c r="E13" s="3"/>
      <c r="F13" s="3"/>
      <c r="G13" s="3"/>
      <c r="H13" s="3"/>
      <c r="I13" s="77"/>
      <c r="J13" s="77"/>
      <c r="K13" s="77"/>
      <c r="L13" s="77"/>
      <c r="M13" s="58"/>
      <c r="N13" s="58"/>
      <c r="O13" s="76"/>
      <c r="P13" s="3"/>
      <c r="Q13" s="3"/>
      <c r="R13" s="3"/>
      <c r="S13" s="3"/>
      <c r="T13" s="3"/>
      <c r="U13" s="3"/>
      <c r="V13" s="3"/>
    </row>
    <row r="14" spans="1:32" ht="15" customHeight="1" x14ac:dyDescent="0.3">
      <c r="A14" s="3"/>
      <c r="B14" s="180"/>
      <c r="C14" s="3"/>
      <c r="D14" s="3"/>
      <c r="E14" s="3"/>
      <c r="F14" s="3"/>
      <c r="G14" s="3"/>
      <c r="H14" s="3"/>
      <c r="I14" s="181"/>
      <c r="J14" s="181"/>
      <c r="K14" s="181"/>
      <c r="L14" s="181"/>
      <c r="M14" s="58"/>
      <c r="N14" s="58"/>
      <c r="O14" s="180"/>
      <c r="P14" s="3"/>
      <c r="Q14" s="3"/>
      <c r="R14" s="3"/>
      <c r="S14" s="3"/>
      <c r="T14" s="3"/>
      <c r="U14" s="3"/>
      <c r="V14" s="3"/>
    </row>
    <row r="15" spans="1:32" ht="45" customHeight="1" x14ac:dyDescent="0.3">
      <c r="A15" s="721" t="s">
        <v>179</v>
      </c>
      <c r="B15" s="76"/>
      <c r="C15" s="3"/>
      <c r="D15" s="3"/>
      <c r="E15" s="3"/>
      <c r="F15" s="3"/>
      <c r="G15" s="3"/>
      <c r="H15" s="3"/>
      <c r="I15" s="77"/>
      <c r="J15" s="1175" t="s">
        <v>361</v>
      </c>
      <c r="K15" s="1176"/>
      <c r="L15" s="1176"/>
      <c r="M15" s="1177"/>
      <c r="N15" s="1172" t="str">
        <f>'Sensitivity 1'!K3</f>
        <v>Night Time Accident Saving increased from 10% to 20%. No RPI extra Over for Energy. Lower CAPEX and KWhr rate</v>
      </c>
      <c r="O15" s="1173"/>
      <c r="P15" s="1173"/>
      <c r="Q15" s="1173"/>
      <c r="R15" s="1173"/>
      <c r="S15" s="1173"/>
      <c r="T15" s="1173"/>
      <c r="U15" s="1173"/>
      <c r="V15" s="1174"/>
    </row>
    <row r="16" spans="1:32" ht="43.95" customHeight="1" thickBot="1" x14ac:dyDescent="0.35">
      <c r="A16" s="187" t="s">
        <v>162</v>
      </c>
      <c r="B16" s="187" t="s">
        <v>146</v>
      </c>
      <c r="C16" s="187" t="s">
        <v>20</v>
      </c>
      <c r="D16" s="187" t="s">
        <v>147</v>
      </c>
      <c r="E16" s="187" t="s">
        <v>148</v>
      </c>
      <c r="F16" s="187" t="s">
        <v>149</v>
      </c>
      <c r="G16" s="187" t="s">
        <v>21</v>
      </c>
      <c r="H16" s="157" t="s">
        <v>25</v>
      </c>
      <c r="I16" s="187" t="s">
        <v>13</v>
      </c>
      <c r="J16" s="187" t="s">
        <v>150</v>
      </c>
      <c r="K16" s="187" t="s">
        <v>14</v>
      </c>
      <c r="L16" s="187" t="s">
        <v>151</v>
      </c>
      <c r="M16" s="187" t="s">
        <v>152</v>
      </c>
      <c r="N16" s="188" t="s">
        <v>153</v>
      </c>
      <c r="O16" s="187" t="s">
        <v>154</v>
      </c>
      <c r="P16" s="187" t="s">
        <v>155</v>
      </c>
      <c r="Q16" s="187" t="s">
        <v>156</v>
      </c>
      <c r="R16" s="187" t="s">
        <v>157</v>
      </c>
      <c r="S16" s="188" t="s">
        <v>158</v>
      </c>
      <c r="T16" s="187" t="s">
        <v>159</v>
      </c>
      <c r="U16" s="187" t="s">
        <v>160</v>
      </c>
      <c r="V16" s="187" t="s">
        <v>161</v>
      </c>
    </row>
    <row r="17" spans="1:22" ht="15" customHeight="1" x14ac:dyDescent="0.3">
      <c r="A17" s="470">
        <f>'Scheme Entry - Baseline'!T49</f>
        <v>0.1111111111111111</v>
      </c>
      <c r="B17" s="471">
        <v>1</v>
      </c>
      <c r="C17" s="472" t="str">
        <f>C8</f>
        <v>Start</v>
      </c>
      <c r="D17" s="472" t="str">
        <f>D8</f>
        <v>to jct 1</v>
      </c>
      <c r="E17" s="471">
        <f t="shared" ref="E17:J17" si="3">E8</f>
        <v>0</v>
      </c>
      <c r="F17" s="471">
        <f t="shared" si="3"/>
        <v>5</v>
      </c>
      <c r="G17" s="471">
        <f t="shared" si="3"/>
        <v>5</v>
      </c>
      <c r="H17" s="471">
        <f t="shared" si="3"/>
        <v>75</v>
      </c>
      <c r="I17" s="895">
        <f t="shared" si="3"/>
        <v>2019</v>
      </c>
      <c r="J17" s="890">
        <f t="shared" si="3"/>
        <v>0.67683936202868722</v>
      </c>
      <c r="K17" s="896">
        <f>'Scheme Entry - Baseline'!$I$21</f>
        <v>2021</v>
      </c>
      <c r="L17" s="890">
        <f>L8</f>
        <v>0.61391325354075932</v>
      </c>
      <c r="M17" s="891">
        <f>(G17*H17*'Scheme Entry - Baseline'!$I$13*'Scheme Entry - Baseline'!$I$40*'Sensitivity 1'!$H$16*'Sensitivity 1'!$H$18)/1000</f>
        <v>9.7750970437974566E-2</v>
      </c>
      <c r="N17" s="892">
        <f>M17*L17*'Scheme Entry - Baseline'!$I$36*'Sensitivity 1'!$N$28</f>
        <v>242851.78239242212</v>
      </c>
      <c r="O17" s="896">
        <f>O8</f>
        <v>2016</v>
      </c>
      <c r="P17" s="474">
        <f>('Sensitivity 1'!$V$26)*('Scheme Entry - Baseline'!O15/'Scheme Entry - Baseline'!$O$19)*L17*A17</f>
        <v>464751.14521021052</v>
      </c>
      <c r="Q17" s="892">
        <f>(('Sensitivity 1'!$V$31*('Scheme Entry - Baseline'!$O$15/'Scheme Entry - Baseline'!$O$21)*L17)*'Scheme Entry - Baseline'!$I$7*A17)</f>
        <v>173846.38806604073</v>
      </c>
      <c r="R17" s="897">
        <f>P17+Q17</f>
        <v>638597.53327625128</v>
      </c>
      <c r="S17" s="474">
        <f>N17-R17</f>
        <v>-395745.7508838292</v>
      </c>
      <c r="T17" s="475">
        <f>N17/R17</f>
        <v>0.38028925847317158</v>
      </c>
      <c r="U17" s="894">
        <f>(M17*'Scheme Entry - Baseline'!$I$36)/R17</f>
        <v>3.2951740400527646E-2</v>
      </c>
      <c r="V17" s="570">
        <f>M17*'Sensitivity 1'!$N$25</f>
        <v>3.3534191283053776</v>
      </c>
    </row>
    <row r="18" spans="1:22" ht="15" customHeight="1" x14ac:dyDescent="0.3">
      <c r="A18" s="724">
        <f>'Scheme Entry - Baseline'!T50</f>
        <v>0.22222222222222221</v>
      </c>
      <c r="B18" s="206">
        <v>2</v>
      </c>
      <c r="C18" s="203" t="str">
        <f t="shared" ref="C18:D21" si="4">C9</f>
        <v>from jct 1</v>
      </c>
      <c r="D18" s="203" t="str">
        <f t="shared" si="4"/>
        <v>to jct 2</v>
      </c>
      <c r="E18" s="202">
        <f t="shared" ref="E18:F20" si="5">E9</f>
        <v>5</v>
      </c>
      <c r="F18" s="202">
        <f t="shared" si="5"/>
        <v>15</v>
      </c>
      <c r="G18" s="206">
        <f t="shared" ref="G18:J21" si="6">G9</f>
        <v>10</v>
      </c>
      <c r="H18" s="206">
        <f t="shared" si="6"/>
        <v>75</v>
      </c>
      <c r="I18" s="272">
        <f t="shared" si="6"/>
        <v>2019</v>
      </c>
      <c r="J18" s="266">
        <f t="shared" si="6"/>
        <v>0.67683936202868722</v>
      </c>
      <c r="K18" s="269">
        <f>'Scheme Entry - Baseline'!$I$21</f>
        <v>2021</v>
      </c>
      <c r="L18" s="266">
        <f>L9</f>
        <v>0.61391325354075932</v>
      </c>
      <c r="M18" s="268">
        <f>(G18*H18*'Scheme Entry - Baseline'!$I$13*'Scheme Entry - Baseline'!$I$40*'Sensitivity 1'!$H$16*'Sensitivity 1'!$H$18)/1000</f>
        <v>0.19550194087594913</v>
      </c>
      <c r="N18" s="439">
        <f>M18*L18*'Scheme Entry - Baseline'!$I$36*'Sensitivity 1'!$N$28</f>
        <v>485703.56478484423</v>
      </c>
      <c r="O18" s="270">
        <f>O9</f>
        <v>2016</v>
      </c>
      <c r="P18" s="205">
        <f>('Sensitivity 1'!$V$26)*('Scheme Entry - Baseline'!$O$15/'Scheme Entry - Baseline'!$O$19)*L18*A18</f>
        <v>929502.29042042105</v>
      </c>
      <c r="Q18" s="439">
        <f>(('Sensitivity 1'!$V$31*('Scheme Entry - Baseline'!$O$15/'Scheme Entry - Baseline'!$O$21)*L18)*'Scheme Entry - Baseline'!$I$7*A18)</f>
        <v>347692.77613208146</v>
      </c>
      <c r="R18" s="448">
        <f>P18+Q18</f>
        <v>1277195.0665525026</v>
      </c>
      <c r="S18" s="205">
        <f t="shared" ref="S18:S21" si="7">N18-R18</f>
        <v>-791491.5017676584</v>
      </c>
      <c r="T18" s="283">
        <f t="shared" ref="T18:T21" si="8">N18/R18</f>
        <v>0.38028925847317158</v>
      </c>
      <c r="U18" s="511">
        <f>(M18*'Scheme Entry - Baseline'!$I$36)/R18</f>
        <v>3.2951740400527646E-2</v>
      </c>
      <c r="V18" s="574">
        <f>M18*'Sensitivity 1'!$N$25</f>
        <v>6.7068382566107552</v>
      </c>
    </row>
    <row r="19" spans="1:22" ht="15" customHeight="1" x14ac:dyDescent="0.3">
      <c r="A19" s="724">
        <f>'Scheme Entry - Baseline'!T51</f>
        <v>0.22222222222222221</v>
      </c>
      <c r="B19" s="206">
        <v>3</v>
      </c>
      <c r="C19" s="203" t="str">
        <f t="shared" si="4"/>
        <v>from jct 2</v>
      </c>
      <c r="D19" s="203" t="str">
        <f t="shared" si="4"/>
        <v>to jct 3</v>
      </c>
      <c r="E19" s="202">
        <f t="shared" si="5"/>
        <v>15</v>
      </c>
      <c r="F19" s="202">
        <f t="shared" si="5"/>
        <v>25</v>
      </c>
      <c r="G19" s="206">
        <f t="shared" si="6"/>
        <v>10</v>
      </c>
      <c r="H19" s="206">
        <f t="shared" si="6"/>
        <v>75</v>
      </c>
      <c r="I19" s="272">
        <f t="shared" si="6"/>
        <v>2019</v>
      </c>
      <c r="J19" s="266">
        <f t="shared" si="6"/>
        <v>0.67683936202868722</v>
      </c>
      <c r="K19" s="269">
        <f>'Scheme Entry - Baseline'!$I$21</f>
        <v>2021</v>
      </c>
      <c r="L19" s="266">
        <f>L10</f>
        <v>0.61391325354075932</v>
      </c>
      <c r="M19" s="268">
        <f>(G19*H19*'Scheme Entry - Baseline'!$I$13*'Scheme Entry - Baseline'!$I$40*'Sensitivity 1'!$H$16*'Sensitivity 1'!$H$18)/1000</f>
        <v>0.19550194087594913</v>
      </c>
      <c r="N19" s="439">
        <f>M19*L19*'Scheme Entry - Baseline'!$I$36*'Sensitivity 1'!$N$28</f>
        <v>485703.56478484423</v>
      </c>
      <c r="O19" s="270">
        <f>O10</f>
        <v>2016</v>
      </c>
      <c r="P19" s="205">
        <f>('Sensitivity 1'!$V$26)*('Scheme Entry - Baseline'!$O$15/'Scheme Entry - Baseline'!$O$19)*L19*A19</f>
        <v>929502.29042042105</v>
      </c>
      <c r="Q19" s="439">
        <f>(('Sensitivity 1'!$V$31*('Scheme Entry - Baseline'!$O$15/'Scheme Entry - Baseline'!$O$21)*L19)*'Scheme Entry - Baseline'!$I$7*A19)</f>
        <v>347692.77613208146</v>
      </c>
      <c r="R19" s="448">
        <f>P19+Q19</f>
        <v>1277195.0665525026</v>
      </c>
      <c r="S19" s="205">
        <f t="shared" si="7"/>
        <v>-791491.5017676584</v>
      </c>
      <c r="T19" s="283">
        <f t="shared" si="8"/>
        <v>0.38028925847317158</v>
      </c>
      <c r="U19" s="511">
        <f>(M19*'Scheme Entry - Baseline'!$I$36)/R19</f>
        <v>3.2951740400527646E-2</v>
      </c>
      <c r="V19" s="574">
        <f>M19*'Sensitivity 1'!$N$25</f>
        <v>6.7068382566107552</v>
      </c>
    </row>
    <row r="20" spans="1:22" ht="15" customHeight="1" x14ac:dyDescent="0.3">
      <c r="A20" s="724">
        <f>'Scheme Entry - Baseline'!T52</f>
        <v>0.22222222222222221</v>
      </c>
      <c r="B20" s="206">
        <v>4</v>
      </c>
      <c r="C20" s="203" t="str">
        <f t="shared" si="4"/>
        <v>from jct 3</v>
      </c>
      <c r="D20" s="203" t="str">
        <f t="shared" si="4"/>
        <v>to jct 4</v>
      </c>
      <c r="E20" s="202">
        <f t="shared" si="5"/>
        <v>25</v>
      </c>
      <c r="F20" s="202">
        <f t="shared" si="5"/>
        <v>35</v>
      </c>
      <c r="G20" s="206">
        <f t="shared" si="6"/>
        <v>10</v>
      </c>
      <c r="H20" s="206">
        <f t="shared" si="6"/>
        <v>75</v>
      </c>
      <c r="I20" s="272">
        <f t="shared" si="6"/>
        <v>2019</v>
      </c>
      <c r="J20" s="266">
        <f t="shared" si="6"/>
        <v>0.67683936202868722</v>
      </c>
      <c r="K20" s="269">
        <f>'Scheme Entry - Baseline'!$I$21</f>
        <v>2021</v>
      </c>
      <c r="L20" s="266">
        <f>L11</f>
        <v>0.61391325354075932</v>
      </c>
      <c r="M20" s="451">
        <f>(G20*H20*'Scheme Entry - Baseline'!$I$13*'Scheme Entry - Baseline'!$I$40*'Sensitivity 1'!$H$16*'Sensitivity 1'!$H$18)/1000</f>
        <v>0.19550194087594913</v>
      </c>
      <c r="N20" s="439">
        <f>M20*L20*'Scheme Entry - Baseline'!$I$36*'Sensitivity 1'!$N$28</f>
        <v>485703.56478484423</v>
      </c>
      <c r="O20" s="270">
        <f>O11</f>
        <v>2016</v>
      </c>
      <c r="P20" s="205">
        <f>('Sensitivity 1'!$V$26)*('Scheme Entry - Baseline'!$O$15/'Scheme Entry - Baseline'!$O$19)*L20*A20</f>
        <v>929502.29042042105</v>
      </c>
      <c r="Q20" s="439">
        <f>(('Sensitivity 1'!$V$31*('Scheme Entry - Baseline'!$O$15/'Scheme Entry - Baseline'!$O$21)*L20)*'Scheme Entry - Baseline'!$I$7*A20)</f>
        <v>347692.77613208146</v>
      </c>
      <c r="R20" s="448">
        <f>P20+Q20</f>
        <v>1277195.0665525026</v>
      </c>
      <c r="S20" s="205">
        <f t="shared" si="7"/>
        <v>-791491.5017676584</v>
      </c>
      <c r="T20" s="283">
        <f t="shared" si="8"/>
        <v>0.38028925847317158</v>
      </c>
      <c r="U20" s="511">
        <f>(M20*'Scheme Entry - Baseline'!$I$36)/R20</f>
        <v>3.2951740400527646E-2</v>
      </c>
      <c r="V20" s="574">
        <f>M20*'Sensitivity 1'!$N$25</f>
        <v>6.7068382566107552</v>
      </c>
    </row>
    <row r="21" spans="1:22" ht="15" customHeight="1" thickBot="1" x14ac:dyDescent="0.35">
      <c r="A21" s="208">
        <f>'Scheme Entry - Baseline'!T53</f>
        <v>0.22222222222222221</v>
      </c>
      <c r="B21" s="209">
        <v>5</v>
      </c>
      <c r="C21" s="212" t="str">
        <f t="shared" si="4"/>
        <v>from jct 3</v>
      </c>
      <c r="D21" s="212" t="str">
        <f t="shared" si="4"/>
        <v>End</v>
      </c>
      <c r="E21" s="209">
        <f>E12</f>
        <v>35</v>
      </c>
      <c r="F21" s="209">
        <f>F12</f>
        <v>45</v>
      </c>
      <c r="G21" s="209">
        <f t="shared" si="6"/>
        <v>10</v>
      </c>
      <c r="H21" s="209">
        <f t="shared" si="6"/>
        <v>75</v>
      </c>
      <c r="I21" s="273">
        <f t="shared" si="6"/>
        <v>2019</v>
      </c>
      <c r="J21" s="267">
        <f t="shared" si="6"/>
        <v>0.67683936202868722</v>
      </c>
      <c r="K21" s="271">
        <f>'Scheme Entry - Baseline'!$I$21</f>
        <v>2021</v>
      </c>
      <c r="L21" s="267">
        <f>L12</f>
        <v>0.61391325354075932</v>
      </c>
      <c r="M21" s="452">
        <f>(G21*H21*'Scheme Entry - Baseline'!$I$13*'Scheme Entry - Baseline'!$I$40*'Sensitivity 1'!$H$16*'Sensitivity 1'!$H$18)/1000</f>
        <v>0.19550194087594913</v>
      </c>
      <c r="N21" s="455">
        <f>M21*L21*'Scheme Entry - Baseline'!$I$36*'Sensitivity 1'!$N$28</f>
        <v>485703.56478484423</v>
      </c>
      <c r="O21" s="271">
        <f>O12</f>
        <v>2016</v>
      </c>
      <c r="P21" s="211">
        <f>('Sensitivity 1'!$V$26)*('Scheme Entry - Baseline'!$O$15/'Scheme Entry - Baseline'!$O$19)*L21*A21</f>
        <v>929502.29042042105</v>
      </c>
      <c r="Q21" s="513">
        <f>(('Sensitivity 1'!$V$31*('Scheme Entry - Baseline'!$O$15/'Scheme Entry - Baseline'!$O$21)*L21)*'Scheme Entry - Baseline'!$I$7*A21)</f>
        <v>347692.77613208146</v>
      </c>
      <c r="R21" s="449">
        <f>P21+Q21</f>
        <v>1277195.0665525026</v>
      </c>
      <c r="S21" s="453">
        <f t="shared" si="7"/>
        <v>-791491.5017676584</v>
      </c>
      <c r="T21" s="285">
        <f t="shared" si="8"/>
        <v>0.38028925847317158</v>
      </c>
      <c r="U21" s="512">
        <f>(M21*'Scheme Entry - Baseline'!$I$36)/R21</f>
        <v>3.2951740400527646E-2</v>
      </c>
      <c r="V21" s="577">
        <f>M21*'Sensitivity 1'!$N$25</f>
        <v>6.7068382566107552</v>
      </c>
    </row>
    <row r="22" spans="1:22" ht="15" customHeight="1" x14ac:dyDescent="0.3">
      <c r="A22" s="79"/>
      <c r="B22" s="78"/>
      <c r="C22" s="79"/>
      <c r="D22" s="79"/>
      <c r="E22" s="79"/>
      <c r="F22" s="79"/>
      <c r="G22" s="79"/>
      <c r="H22" s="79"/>
      <c r="I22" s="58"/>
      <c r="J22" s="58"/>
      <c r="K22" s="58"/>
      <c r="L22" s="58"/>
      <c r="M22" s="58"/>
      <c r="N22" s="58"/>
      <c r="O22" s="78"/>
      <c r="P22" s="79"/>
      <c r="Q22" s="79"/>
      <c r="R22" s="79"/>
      <c r="S22" s="79"/>
      <c r="T22" s="79"/>
      <c r="U22" s="79"/>
      <c r="V22" s="79"/>
    </row>
    <row r="23" spans="1:22" ht="15" customHeight="1" x14ac:dyDescent="0.3">
      <c r="A23" s="79"/>
      <c r="B23" s="182"/>
      <c r="C23" s="79"/>
      <c r="D23" s="79"/>
      <c r="E23" s="79"/>
      <c r="F23" s="79"/>
      <c r="G23" s="79"/>
      <c r="H23" s="79"/>
      <c r="I23" s="58"/>
      <c r="J23" s="58"/>
      <c r="K23" s="58"/>
      <c r="L23" s="58"/>
      <c r="M23" s="58"/>
      <c r="N23" s="58"/>
      <c r="O23" s="182"/>
      <c r="P23" s="79"/>
      <c r="Q23" s="79"/>
      <c r="R23" s="79"/>
      <c r="S23" s="79"/>
      <c r="T23" s="79"/>
      <c r="U23" s="79"/>
      <c r="V23" s="79"/>
    </row>
    <row r="24" spans="1:22" ht="42" customHeight="1" x14ac:dyDescent="0.3">
      <c r="A24" s="721" t="s">
        <v>180</v>
      </c>
      <c r="B24" s="78"/>
      <c r="C24" s="79"/>
      <c r="D24" s="79"/>
      <c r="E24" s="79"/>
      <c r="F24" s="79"/>
      <c r="G24" s="79"/>
      <c r="H24" s="79"/>
      <c r="I24" s="58"/>
      <c r="J24" s="1175" t="s">
        <v>361</v>
      </c>
      <c r="K24" s="1176"/>
      <c r="L24" s="1176"/>
      <c r="M24" s="1177"/>
      <c r="N24" s="1172" t="str">
        <f>'Sensitivity 2'!K3</f>
        <v>Night Time Accident Saving increased from 10% to 20%. No RPI extra Over for Energy. Lower CAPEX and KWhr rate</v>
      </c>
      <c r="O24" s="1173"/>
      <c r="P24" s="1173"/>
      <c r="Q24" s="1173"/>
      <c r="R24" s="1173"/>
      <c r="S24" s="1173"/>
      <c r="T24" s="1173"/>
      <c r="U24" s="1173"/>
      <c r="V24" s="1174"/>
    </row>
    <row r="25" spans="1:22" ht="43.2" customHeight="1" thickBot="1" x14ac:dyDescent="0.35">
      <c r="A25" s="152" t="s">
        <v>162</v>
      </c>
      <c r="B25" s="152" t="s">
        <v>146</v>
      </c>
      <c r="C25" s="152" t="s">
        <v>20</v>
      </c>
      <c r="D25" s="152" t="s">
        <v>147</v>
      </c>
      <c r="E25" s="152" t="s">
        <v>148</v>
      </c>
      <c r="F25" s="152" t="s">
        <v>149</v>
      </c>
      <c r="G25" s="152" t="s">
        <v>21</v>
      </c>
      <c r="H25" s="157" t="s">
        <v>25</v>
      </c>
      <c r="I25" s="152" t="s">
        <v>13</v>
      </c>
      <c r="J25" s="152" t="s">
        <v>150</v>
      </c>
      <c r="K25" s="152" t="s">
        <v>14</v>
      </c>
      <c r="L25" s="152" t="s">
        <v>151</v>
      </c>
      <c r="M25" s="152" t="s">
        <v>152</v>
      </c>
      <c r="N25" s="153" t="s">
        <v>153</v>
      </c>
      <c r="O25" s="152" t="s">
        <v>154</v>
      </c>
      <c r="P25" s="152" t="s">
        <v>155</v>
      </c>
      <c r="Q25" s="152" t="s">
        <v>156</v>
      </c>
      <c r="R25" s="152" t="s">
        <v>157</v>
      </c>
      <c r="S25" s="153" t="s">
        <v>158</v>
      </c>
      <c r="T25" s="152" t="s">
        <v>159</v>
      </c>
      <c r="U25" s="152" t="s">
        <v>160</v>
      </c>
      <c r="V25" s="152" t="s">
        <v>161</v>
      </c>
    </row>
    <row r="26" spans="1:22" ht="15" customHeight="1" x14ac:dyDescent="0.3">
      <c r="A26" s="470">
        <f>'Scheme Entry - Baseline'!T49</f>
        <v>0.1111111111111111</v>
      </c>
      <c r="B26" s="471">
        <v>1</v>
      </c>
      <c r="C26" s="472" t="str">
        <f>C8</f>
        <v>Start</v>
      </c>
      <c r="D26" s="472" t="str">
        <f>D8</f>
        <v>to jct 1</v>
      </c>
      <c r="E26" s="471">
        <f t="shared" ref="E26:J30" si="9">E8</f>
        <v>0</v>
      </c>
      <c r="F26" s="471">
        <f t="shared" si="9"/>
        <v>5</v>
      </c>
      <c r="G26" s="471">
        <f t="shared" si="9"/>
        <v>5</v>
      </c>
      <c r="H26" s="471">
        <f t="shared" si="9"/>
        <v>75</v>
      </c>
      <c r="I26" s="895">
        <f t="shared" si="9"/>
        <v>2019</v>
      </c>
      <c r="J26" s="890">
        <f>J8</f>
        <v>0.67683936202868722</v>
      </c>
      <c r="K26" s="896">
        <f>'Scheme Entry - Baseline'!$I$21</f>
        <v>2021</v>
      </c>
      <c r="L26" s="890">
        <f>L8</f>
        <v>0.61391325354075932</v>
      </c>
      <c r="M26" s="891">
        <f>(G26*H26*'Scheme Entry - Baseline'!$I$13*'Scheme Entry - Baseline'!$I$40*'Sensitivity 2'!$H$16*'Sensitivity 2'!$H$18)/1000</f>
        <v>4.8875485218987283E-2</v>
      </c>
      <c r="N26" s="892">
        <f>M26*L26*'Scheme Entry - Baseline'!$I$36*'Sensitivity 2'!$N$28</f>
        <v>121425.89119621106</v>
      </c>
      <c r="O26" s="896">
        <f>O8</f>
        <v>2016</v>
      </c>
      <c r="P26" s="474">
        <f>('Sensitivity 2'!$V$26)*('Scheme Entry - Baseline'!$O$15/'Scheme Entry - Baseline'!$O$19)*L26*A26</f>
        <v>540487.20671779441</v>
      </c>
      <c r="Q26" s="892">
        <f>(('Sensitivity 2'!$V$31*('Scheme Entry - Baseline'!$O$15/'Scheme Entry - Baseline'!$O$21)*L26)*'Scheme Entry - Baseline'!$I$7*A26)</f>
        <v>218530.80164958554</v>
      </c>
      <c r="R26" s="897">
        <f>Q26+P26</f>
        <v>759018.00836737989</v>
      </c>
      <c r="S26" s="474">
        <f>N26-R26</f>
        <v>-637592.11717116879</v>
      </c>
      <c r="T26" s="475">
        <f>N26/R26</f>
        <v>0.15997761562653004</v>
      </c>
      <c r="U26" s="894">
        <f>(M26*'Scheme Entry - Baseline'!$I$36)/R26</f>
        <v>1.386192416053399E-2</v>
      </c>
      <c r="V26" s="570">
        <f>M26*'Sensitivity 2'!$N$25</f>
        <v>1.6767095641526888</v>
      </c>
    </row>
    <row r="27" spans="1:22" ht="15" customHeight="1" x14ac:dyDescent="0.3">
      <c r="A27" s="898">
        <f>'Scheme Entry - Baseline'!T50</f>
        <v>0.22222222222222221</v>
      </c>
      <c r="B27" s="206">
        <v>2</v>
      </c>
      <c r="C27" s="203" t="str">
        <f t="shared" ref="C27:D30" si="10">C9</f>
        <v>from jct 1</v>
      </c>
      <c r="D27" s="203" t="str">
        <f t="shared" si="10"/>
        <v>to jct 2</v>
      </c>
      <c r="E27" s="206">
        <f t="shared" si="9"/>
        <v>5</v>
      </c>
      <c r="F27" s="206">
        <f t="shared" si="9"/>
        <v>15</v>
      </c>
      <c r="G27" s="206">
        <f t="shared" si="9"/>
        <v>10</v>
      </c>
      <c r="H27" s="206">
        <f t="shared" si="9"/>
        <v>75</v>
      </c>
      <c r="I27" s="272">
        <f t="shared" si="9"/>
        <v>2019</v>
      </c>
      <c r="J27" s="265">
        <f t="shared" si="9"/>
        <v>0.67683936202868722</v>
      </c>
      <c r="K27" s="269">
        <f>'Scheme Entry - Baseline'!$I$21</f>
        <v>2021</v>
      </c>
      <c r="L27" s="266">
        <f>L9</f>
        <v>0.61391325354075932</v>
      </c>
      <c r="M27" s="268">
        <f>(G27*H27*'Scheme Entry - Baseline'!$I$13*'Scheme Entry - Baseline'!$I$40*'Sensitivity 2'!$H$16*'Sensitivity 2'!$H$18)/1000</f>
        <v>9.7750970437974566E-2</v>
      </c>
      <c r="N27" s="439">
        <f>M27*L27*'Scheme Entry - Baseline'!$I$36*'Sensitivity 2'!$N$28</f>
        <v>242851.78239242212</v>
      </c>
      <c r="O27" s="270">
        <f>O9</f>
        <v>2016</v>
      </c>
      <c r="P27" s="205">
        <f>('Sensitivity 2'!$V$26)*('Scheme Entry - Baseline'!$O$15/'Scheme Entry - Baseline'!$O$19)*L27*A27</f>
        <v>1080974.4134355888</v>
      </c>
      <c r="Q27" s="439">
        <f>(('Sensitivity 2'!$V$31*('Scheme Entry - Baseline'!$O$15/'Scheme Entry - Baseline'!$O$21)*L27)*'Scheme Entry - Baseline'!$I$7*A27)</f>
        <v>437061.60329917108</v>
      </c>
      <c r="R27" s="448">
        <f>P27+Q27</f>
        <v>1518036.0167347598</v>
      </c>
      <c r="S27" s="205">
        <f t="shared" ref="S27:S30" si="11">N27-R27</f>
        <v>-1275184.2343423376</v>
      </c>
      <c r="T27" s="283">
        <f t="shared" ref="T27:T30" si="12">N27/R27</f>
        <v>0.15997761562653004</v>
      </c>
      <c r="U27" s="511">
        <f>(M27*'Scheme Entry - Baseline'!$I$36)/R27</f>
        <v>1.386192416053399E-2</v>
      </c>
      <c r="V27" s="574">
        <f>M27*'Sensitivity 2'!$N$25</f>
        <v>3.3534191283053776</v>
      </c>
    </row>
    <row r="28" spans="1:22" ht="15" customHeight="1" x14ac:dyDescent="0.3">
      <c r="A28" s="724">
        <f>'Scheme Entry - Baseline'!T51</f>
        <v>0.22222222222222221</v>
      </c>
      <c r="B28" s="206">
        <v>3</v>
      </c>
      <c r="C28" s="203" t="str">
        <f t="shared" si="10"/>
        <v>from jct 2</v>
      </c>
      <c r="D28" s="203" t="str">
        <f t="shared" si="10"/>
        <v>to jct 3</v>
      </c>
      <c r="E28" s="206">
        <f t="shared" si="9"/>
        <v>15</v>
      </c>
      <c r="F28" s="206">
        <f t="shared" si="9"/>
        <v>25</v>
      </c>
      <c r="G28" s="206">
        <f t="shared" si="9"/>
        <v>10</v>
      </c>
      <c r="H28" s="206">
        <f t="shared" si="9"/>
        <v>75</v>
      </c>
      <c r="I28" s="272">
        <f t="shared" si="9"/>
        <v>2019</v>
      </c>
      <c r="J28" s="265">
        <f t="shared" si="9"/>
        <v>0.67683936202868722</v>
      </c>
      <c r="K28" s="269">
        <f>'Scheme Entry - Baseline'!$I$21</f>
        <v>2021</v>
      </c>
      <c r="L28" s="266">
        <f>L10</f>
        <v>0.61391325354075932</v>
      </c>
      <c r="M28" s="268">
        <f>(G28*H28*'Scheme Entry - Baseline'!$I$13*'Scheme Entry - Baseline'!$I$40*'Sensitivity 2'!$H$16*'Sensitivity 2'!$H$18)/1000</f>
        <v>9.7750970437974566E-2</v>
      </c>
      <c r="N28" s="439">
        <f>M28*L28*'Scheme Entry - Baseline'!$I$36*'Sensitivity 2'!$N$28</f>
        <v>242851.78239242212</v>
      </c>
      <c r="O28" s="270">
        <f>O10</f>
        <v>2016</v>
      </c>
      <c r="P28" s="205">
        <f>('Sensitivity 2'!$V$26)*('Scheme Entry - Baseline'!$O$15/'Scheme Entry - Baseline'!$O$19)*L28*A28</f>
        <v>1080974.4134355888</v>
      </c>
      <c r="Q28" s="439">
        <f>(('Sensitivity 2'!$V$31*('Scheme Entry - Baseline'!$O$15/'Scheme Entry - Baseline'!$O$21)*L28)*'Scheme Entry - Baseline'!$I$7*A28)</f>
        <v>437061.60329917108</v>
      </c>
      <c r="R28" s="448">
        <f>Q28+P28</f>
        <v>1518036.0167347598</v>
      </c>
      <c r="S28" s="205">
        <f t="shared" si="11"/>
        <v>-1275184.2343423376</v>
      </c>
      <c r="T28" s="283">
        <f t="shared" si="12"/>
        <v>0.15997761562653004</v>
      </c>
      <c r="U28" s="511">
        <f>(M28*'Scheme Entry - Baseline'!$I$36)/R28</f>
        <v>1.386192416053399E-2</v>
      </c>
      <c r="V28" s="574">
        <f>M28*'Sensitivity 2'!$N$25</f>
        <v>3.3534191283053776</v>
      </c>
    </row>
    <row r="29" spans="1:22" ht="15" customHeight="1" x14ac:dyDescent="0.3">
      <c r="A29" s="724">
        <f>'Scheme Entry - Baseline'!T52</f>
        <v>0.22222222222222221</v>
      </c>
      <c r="B29" s="206">
        <v>4</v>
      </c>
      <c r="C29" s="203" t="str">
        <f t="shared" si="10"/>
        <v>from jct 3</v>
      </c>
      <c r="D29" s="203" t="str">
        <f t="shared" si="10"/>
        <v>to jct 4</v>
      </c>
      <c r="E29" s="206">
        <f t="shared" si="9"/>
        <v>25</v>
      </c>
      <c r="F29" s="206">
        <f t="shared" si="9"/>
        <v>35</v>
      </c>
      <c r="G29" s="206">
        <f t="shared" si="9"/>
        <v>10</v>
      </c>
      <c r="H29" s="206">
        <f t="shared" si="9"/>
        <v>75</v>
      </c>
      <c r="I29" s="272">
        <f t="shared" si="9"/>
        <v>2019</v>
      </c>
      <c r="J29" s="265">
        <f t="shared" si="9"/>
        <v>0.67683936202868722</v>
      </c>
      <c r="K29" s="269">
        <f>'Scheme Entry - Baseline'!$I$21</f>
        <v>2021</v>
      </c>
      <c r="L29" s="266">
        <f>L11</f>
        <v>0.61391325354075932</v>
      </c>
      <c r="M29" s="268">
        <f>(G29*H29*'Scheme Entry - Baseline'!$I$13*'Scheme Entry - Baseline'!$I$40*'Sensitivity 2'!$H$16*'Sensitivity 2'!$H$18)/1000</f>
        <v>9.7750970437974566E-2</v>
      </c>
      <c r="N29" s="439">
        <f>M29*L29*'Scheme Entry - Baseline'!$I$36*'Sensitivity 2'!$N$28</f>
        <v>242851.78239242212</v>
      </c>
      <c r="O29" s="270">
        <f>O11</f>
        <v>2016</v>
      </c>
      <c r="P29" s="205">
        <f>('Sensitivity 2'!$V$26)*('Scheme Entry - Baseline'!$O$15/'Scheme Entry - Baseline'!$O$19)*L29*A29</f>
        <v>1080974.4134355888</v>
      </c>
      <c r="Q29" s="439">
        <f>(('Sensitivity 2'!$V$31*('Scheme Entry - Baseline'!$O$15/'Scheme Entry - Baseline'!$O$21)*L29)*'Scheme Entry - Baseline'!$I$7*A29)</f>
        <v>437061.60329917108</v>
      </c>
      <c r="R29" s="448">
        <f>Q29+P29</f>
        <v>1518036.0167347598</v>
      </c>
      <c r="S29" s="205">
        <f t="shared" si="11"/>
        <v>-1275184.2343423376</v>
      </c>
      <c r="T29" s="283">
        <f t="shared" si="12"/>
        <v>0.15997761562653004</v>
      </c>
      <c r="U29" s="511">
        <f>(M29*'Scheme Entry - Baseline'!$I$36)/R29</f>
        <v>1.386192416053399E-2</v>
      </c>
      <c r="V29" s="574">
        <f>M29*'Sensitivity 2'!$N$25</f>
        <v>3.3534191283053776</v>
      </c>
    </row>
    <row r="30" spans="1:22" ht="15" customHeight="1" thickBot="1" x14ac:dyDescent="0.35">
      <c r="A30" s="208">
        <f>'Scheme Entry - Baseline'!T53</f>
        <v>0.22222222222222221</v>
      </c>
      <c r="B30" s="209">
        <v>5</v>
      </c>
      <c r="C30" s="212" t="str">
        <f t="shared" si="10"/>
        <v>from jct 3</v>
      </c>
      <c r="D30" s="212" t="str">
        <f t="shared" si="10"/>
        <v>End</v>
      </c>
      <c r="E30" s="209">
        <f t="shared" si="9"/>
        <v>35</v>
      </c>
      <c r="F30" s="209">
        <f t="shared" si="9"/>
        <v>45</v>
      </c>
      <c r="G30" s="209">
        <f t="shared" si="9"/>
        <v>10</v>
      </c>
      <c r="H30" s="209">
        <f t="shared" si="9"/>
        <v>75</v>
      </c>
      <c r="I30" s="273">
        <f t="shared" si="9"/>
        <v>2019</v>
      </c>
      <c r="J30" s="267">
        <f t="shared" si="9"/>
        <v>0.67683936202868722</v>
      </c>
      <c r="K30" s="271">
        <f>'Scheme Entry - Baseline'!$I$21</f>
        <v>2021</v>
      </c>
      <c r="L30" s="267">
        <f>L12</f>
        <v>0.61391325354075932</v>
      </c>
      <c r="M30" s="454">
        <f>(G30*H30*'Scheme Entry - Baseline'!$I$13*'Scheme Entry - Baseline'!$I$40*'Sensitivity 2'!$H$16*'Sensitivity 2'!$H$18)/1000</f>
        <v>9.7750970437974566E-2</v>
      </c>
      <c r="N30" s="456">
        <f>M30*L30*'Scheme Entry - Baseline'!$I$36*'Sensitivity 2'!$N$28</f>
        <v>242851.78239242212</v>
      </c>
      <c r="O30" s="271">
        <f>O12</f>
        <v>2016</v>
      </c>
      <c r="P30" s="211">
        <f>('Sensitivity 2'!$V$26)*('Scheme Entry - Baseline'!$O$15/'Scheme Entry - Baseline'!$O$19)*L30*A30</f>
        <v>1080974.4134355888</v>
      </c>
      <c r="Q30" s="513">
        <f>(('Sensitivity 2'!$V$31*('Scheme Entry - Baseline'!$O$15/'Scheme Entry - Baseline'!$O$21)*L30)*'Scheme Entry - Baseline'!$I$7*A30)</f>
        <v>437061.60329917108</v>
      </c>
      <c r="R30" s="449">
        <f>Q30+P30</f>
        <v>1518036.0167347598</v>
      </c>
      <c r="S30" s="453">
        <f t="shared" si="11"/>
        <v>-1275184.2343423376</v>
      </c>
      <c r="T30" s="285">
        <f t="shared" si="12"/>
        <v>0.15997761562653004</v>
      </c>
      <c r="U30" s="512">
        <f>(M30*'Scheme Entry - Baseline'!$I$36)/R30</f>
        <v>1.386192416053399E-2</v>
      </c>
      <c r="V30" s="577">
        <f>M30*'Sensitivity 2'!$N$25</f>
        <v>3.3534191283053776</v>
      </c>
    </row>
    <row r="31" spans="1:22" ht="15" customHeight="1" x14ac:dyDescent="0.3">
      <c r="A31" s="79"/>
      <c r="B31" s="161"/>
      <c r="C31" s="79"/>
      <c r="D31" s="79"/>
      <c r="E31" s="79"/>
      <c r="F31" s="79"/>
      <c r="G31" s="79"/>
      <c r="H31" s="79"/>
      <c r="I31" s="58"/>
      <c r="J31" s="58"/>
      <c r="K31" s="58"/>
      <c r="L31" s="58"/>
      <c r="M31" s="58"/>
      <c r="N31" s="58"/>
      <c r="O31" s="58"/>
      <c r="P31" s="79"/>
      <c r="Q31" s="79"/>
      <c r="R31" s="79"/>
      <c r="S31" s="79"/>
      <c r="T31" s="79"/>
      <c r="U31" s="79"/>
      <c r="V31" s="79"/>
    </row>
    <row r="32" spans="1:22" ht="15" customHeight="1" x14ac:dyDescent="0.3">
      <c r="A32" s="79"/>
      <c r="B32" s="678"/>
      <c r="C32" s="79"/>
      <c r="D32" s="79"/>
      <c r="E32" s="79"/>
      <c r="F32" s="79"/>
      <c r="G32" s="79"/>
      <c r="H32" s="79"/>
      <c r="I32" s="58"/>
      <c r="J32" s="58"/>
      <c r="K32" s="58"/>
      <c r="L32" s="58"/>
      <c r="M32" s="58"/>
      <c r="N32" s="58"/>
      <c r="O32" s="58"/>
      <c r="P32" s="79"/>
      <c r="Q32" s="79"/>
      <c r="R32" s="79"/>
      <c r="S32" s="79"/>
      <c r="T32" s="79"/>
      <c r="U32" s="79"/>
      <c r="V32" s="79"/>
    </row>
    <row r="33" spans="1:22" ht="15" customHeight="1" x14ac:dyDescent="0.3">
      <c r="A33" s="79"/>
      <c r="B33" s="678"/>
      <c r="C33" s="79"/>
      <c r="D33" s="79"/>
      <c r="E33" s="79"/>
      <c r="F33" s="79"/>
      <c r="G33" s="79"/>
      <c r="H33" s="79"/>
      <c r="I33" s="58"/>
      <c r="J33" s="58"/>
      <c r="K33" s="58"/>
      <c r="L33" s="58"/>
      <c r="M33" s="58"/>
      <c r="N33" s="58"/>
      <c r="O33" s="58"/>
      <c r="P33" s="79"/>
      <c r="Q33" s="79"/>
      <c r="R33" s="79"/>
      <c r="S33" s="79"/>
      <c r="T33" s="79"/>
      <c r="U33" s="79"/>
      <c r="V33" s="79"/>
    </row>
    <row r="34" spans="1:22" ht="15" customHeight="1" x14ac:dyDescent="0.3">
      <c r="A34" s="79"/>
      <c r="B34" s="678"/>
      <c r="C34" s="79"/>
      <c r="D34" s="79"/>
      <c r="E34" s="79"/>
      <c r="F34" s="79"/>
      <c r="G34" s="79"/>
      <c r="H34" s="79"/>
      <c r="I34" s="58"/>
      <c r="J34" s="58"/>
      <c r="K34" s="58"/>
      <c r="L34" s="58"/>
      <c r="M34" s="58"/>
      <c r="N34" s="58"/>
      <c r="O34" s="58"/>
      <c r="P34" s="79"/>
      <c r="Q34" s="79"/>
      <c r="R34" s="79"/>
      <c r="S34" s="79"/>
      <c r="T34" s="79"/>
      <c r="U34" s="79"/>
      <c r="V34" s="79"/>
    </row>
    <row r="35" spans="1:22" ht="15" customHeight="1" x14ac:dyDescent="0.3">
      <c r="A35" s="79"/>
      <c r="B35" s="678"/>
      <c r="C35" s="79"/>
      <c r="D35" s="79"/>
      <c r="E35" s="79"/>
      <c r="F35" s="79"/>
      <c r="G35" s="79"/>
      <c r="H35" s="79"/>
      <c r="I35" s="58"/>
      <c r="J35" s="58"/>
      <c r="K35" s="58"/>
      <c r="L35" s="58"/>
      <c r="M35" s="58"/>
      <c r="N35" s="58"/>
      <c r="O35" s="58"/>
      <c r="P35" s="79"/>
      <c r="Q35" s="79"/>
      <c r="R35" s="79"/>
      <c r="S35" s="79"/>
      <c r="T35" s="79"/>
      <c r="U35" s="79"/>
      <c r="V35" s="79"/>
    </row>
    <row r="36" spans="1:22" ht="15" customHeight="1" x14ac:dyDescent="0.3">
      <c r="A36" s="79"/>
      <c r="B36" s="678"/>
      <c r="C36" s="79"/>
      <c r="D36" s="79"/>
      <c r="E36" s="79"/>
      <c r="F36" s="79"/>
      <c r="G36" s="79"/>
      <c r="H36" s="79"/>
      <c r="I36" s="58"/>
      <c r="J36" s="58"/>
      <c r="K36" s="58"/>
      <c r="L36" s="58"/>
      <c r="M36" s="58"/>
      <c r="N36" s="58"/>
      <c r="O36" s="58"/>
      <c r="P36" s="79"/>
      <c r="Q36" s="79"/>
      <c r="R36" s="79"/>
      <c r="S36" s="79"/>
      <c r="T36" s="79"/>
      <c r="U36" s="79"/>
      <c r="V36" s="79"/>
    </row>
    <row r="37" spans="1:22" ht="15" customHeight="1" x14ac:dyDescent="0.3">
      <c r="A37" s="79"/>
      <c r="B37" s="678"/>
      <c r="C37" s="79"/>
      <c r="D37" s="79"/>
      <c r="E37" s="79"/>
      <c r="F37" s="79"/>
      <c r="G37" s="79"/>
      <c r="H37" s="79"/>
      <c r="I37" s="58"/>
      <c r="J37" s="58"/>
      <c r="K37" s="58"/>
      <c r="L37" s="58"/>
      <c r="M37" s="58"/>
      <c r="N37" s="58"/>
      <c r="O37" s="58"/>
      <c r="P37" s="79"/>
      <c r="Q37" s="79"/>
      <c r="R37" s="79"/>
      <c r="S37" s="79"/>
      <c r="T37" s="79"/>
      <c r="U37" s="79"/>
      <c r="V37" s="79"/>
    </row>
    <row r="38" spans="1:22" ht="21" customHeight="1" x14ac:dyDescent="0.3">
      <c r="A38" s="15"/>
      <c r="B38" s="675"/>
      <c r="C38" s="15"/>
      <c r="D38" s="15"/>
      <c r="E38" s="15"/>
      <c r="F38" s="15"/>
      <c r="G38" s="15"/>
      <c r="H38" s="15"/>
      <c r="I38" s="517"/>
      <c r="J38" s="517"/>
      <c r="K38" s="517"/>
      <c r="L38" s="517"/>
      <c r="M38" s="517"/>
      <c r="N38" s="517"/>
      <c r="O38" s="517"/>
      <c r="P38" s="15"/>
      <c r="Q38" s="15"/>
      <c r="R38" s="15"/>
      <c r="S38" s="15"/>
      <c r="T38" s="15"/>
      <c r="U38" s="15"/>
      <c r="V38" s="15"/>
    </row>
  </sheetData>
  <mergeCells count="4">
    <mergeCell ref="N24:V24"/>
    <mergeCell ref="N15:V15"/>
    <mergeCell ref="J15:M15"/>
    <mergeCell ref="J24:M24"/>
  </mergeCells>
  <dataValidations disablePrompts="1" count="4">
    <dataValidation allowBlank="1" showInputMessage="1" showErrorMessage="1" prompt="6° 17' 40.1424''" sqref="JO65451 TK65451 ADG65451 ANC65451 AWY65451 BGU65451 BQQ65451 CAM65451 CKI65451 CUE65451 DEA65451 DNW65451 DXS65451 EHO65451 ERK65451 FBG65451 FLC65451 FUY65451 GEU65451 GOQ65451 GYM65451 HII65451 HSE65451 ICA65451 ILW65451 IVS65451 JFO65451 JPK65451 JZG65451 KJC65451 KSY65451 LCU65451 LMQ65451 LWM65451 MGI65451 MQE65451 NAA65451 NJW65451 NTS65451 ODO65451 ONK65451 OXG65451 PHC65451 PQY65451 QAU65451 QKQ65451 QUM65451 REI65451 ROE65451 RYA65451 SHW65451 SRS65451 TBO65451 TLK65451 TVG65451 UFC65451 UOY65451 UYU65451 VIQ65451 VSM65451 WCI65451 WME65451 WWA65451 JO130987 TK130987 ADG130987 ANC130987 AWY130987 BGU130987 BQQ130987 CAM130987 CKI130987 CUE130987 DEA130987 DNW130987 DXS130987 EHO130987 ERK130987 FBG130987 FLC130987 FUY130987 GEU130987 GOQ130987 GYM130987 HII130987 HSE130987 ICA130987 ILW130987 IVS130987 JFO130987 JPK130987 JZG130987 KJC130987 KSY130987 LCU130987 LMQ130987 LWM130987 MGI130987 MQE130987 NAA130987 NJW130987 NTS130987 ODO130987 ONK130987 OXG130987 PHC130987 PQY130987 QAU130987 QKQ130987 QUM130987 REI130987 ROE130987 RYA130987 SHW130987 SRS130987 TBO130987 TLK130987 TVG130987 UFC130987 UOY130987 UYU130987 VIQ130987 VSM130987 WCI130987 WME130987 WWA130987 JO196523 TK196523 ADG196523 ANC196523 AWY196523 BGU196523 BQQ196523 CAM196523 CKI196523 CUE196523 DEA196523 DNW196523 DXS196523 EHO196523 ERK196523 FBG196523 FLC196523 FUY196523 GEU196523 GOQ196523 GYM196523 HII196523 HSE196523 ICA196523 ILW196523 IVS196523 JFO196523 JPK196523 JZG196523 KJC196523 KSY196523 LCU196523 LMQ196523 LWM196523 MGI196523 MQE196523 NAA196523 NJW196523 NTS196523 ODO196523 ONK196523 OXG196523 PHC196523 PQY196523 QAU196523 QKQ196523 QUM196523 REI196523 ROE196523 RYA196523 SHW196523 SRS196523 TBO196523 TLK196523 TVG196523 UFC196523 UOY196523 UYU196523 VIQ196523 VSM196523 WCI196523 WME196523 WWA196523 JO262059 TK262059 ADG262059 ANC262059 AWY262059 BGU262059 BQQ262059 CAM262059 CKI262059 CUE262059 DEA262059 DNW262059 DXS262059 EHO262059 ERK262059 FBG262059 FLC262059 FUY262059 GEU262059 GOQ262059 GYM262059 HII262059 HSE262059 ICA262059 ILW262059 IVS262059 JFO262059 JPK262059 JZG262059 KJC262059 KSY262059 LCU262059 LMQ262059 LWM262059 MGI262059 MQE262059 NAA262059 NJW262059 NTS262059 ODO262059 ONK262059 OXG262059 PHC262059 PQY262059 QAU262059 QKQ262059 QUM262059 REI262059 ROE262059 RYA262059 SHW262059 SRS262059 TBO262059 TLK262059 TVG262059 UFC262059 UOY262059 UYU262059 VIQ262059 VSM262059 WCI262059 WME262059 WWA262059 JO327595 TK327595 ADG327595 ANC327595 AWY327595 BGU327595 BQQ327595 CAM327595 CKI327595 CUE327595 DEA327595 DNW327595 DXS327595 EHO327595 ERK327595 FBG327595 FLC327595 FUY327595 GEU327595 GOQ327595 GYM327595 HII327595 HSE327595 ICA327595 ILW327595 IVS327595 JFO327595 JPK327595 JZG327595 KJC327595 KSY327595 LCU327595 LMQ327595 LWM327595 MGI327595 MQE327595 NAA327595 NJW327595 NTS327595 ODO327595 ONK327595 OXG327595 PHC327595 PQY327595 QAU327595 QKQ327595 QUM327595 REI327595 ROE327595 RYA327595 SHW327595 SRS327595 TBO327595 TLK327595 TVG327595 UFC327595 UOY327595 UYU327595 VIQ327595 VSM327595 WCI327595 WME327595 WWA327595 JO393131 TK393131 ADG393131 ANC393131 AWY393131 BGU393131 BQQ393131 CAM393131 CKI393131 CUE393131 DEA393131 DNW393131 DXS393131 EHO393131 ERK393131 FBG393131 FLC393131 FUY393131 GEU393131 GOQ393131 GYM393131 HII393131 HSE393131 ICA393131 ILW393131 IVS393131 JFO393131 JPK393131 JZG393131 KJC393131 KSY393131 LCU393131 LMQ393131 LWM393131 MGI393131 MQE393131 NAA393131 NJW393131 NTS393131 ODO393131 ONK393131 OXG393131 PHC393131 PQY393131 QAU393131 QKQ393131 QUM393131 REI393131 ROE393131 RYA393131 SHW393131 SRS393131 TBO393131 TLK393131 TVG393131 UFC393131 UOY393131 UYU393131 VIQ393131 VSM393131 WCI393131 WME393131 WWA393131 JO458667 TK458667 ADG458667 ANC458667 AWY458667 BGU458667 BQQ458667 CAM458667 CKI458667 CUE458667 DEA458667 DNW458667 DXS458667 EHO458667 ERK458667 FBG458667 FLC458667 FUY458667 GEU458667 GOQ458667 GYM458667 HII458667 HSE458667 ICA458667 ILW458667 IVS458667 JFO458667 JPK458667 JZG458667 KJC458667 KSY458667 LCU458667 LMQ458667 LWM458667 MGI458667 MQE458667 NAA458667 NJW458667 NTS458667 ODO458667 ONK458667 OXG458667 PHC458667 PQY458667 QAU458667 QKQ458667 QUM458667 REI458667 ROE458667 RYA458667 SHW458667 SRS458667 TBO458667 TLK458667 TVG458667 UFC458667 UOY458667 UYU458667 VIQ458667 VSM458667 WCI458667 WME458667 WWA458667 JO524203 TK524203 ADG524203 ANC524203 AWY524203 BGU524203 BQQ524203 CAM524203 CKI524203 CUE524203 DEA524203 DNW524203 DXS524203 EHO524203 ERK524203 FBG524203 FLC524203 FUY524203 GEU524203 GOQ524203 GYM524203 HII524203 HSE524203 ICA524203 ILW524203 IVS524203 JFO524203 JPK524203 JZG524203 KJC524203 KSY524203 LCU524203 LMQ524203 LWM524203 MGI524203 MQE524203 NAA524203 NJW524203 NTS524203 ODO524203 ONK524203 OXG524203 PHC524203 PQY524203 QAU524203 QKQ524203 QUM524203 REI524203 ROE524203 RYA524203 SHW524203 SRS524203 TBO524203 TLK524203 TVG524203 UFC524203 UOY524203 UYU524203 VIQ524203 VSM524203 WCI524203 WME524203 WWA524203 JO589739 TK589739 ADG589739 ANC589739 AWY589739 BGU589739 BQQ589739 CAM589739 CKI589739 CUE589739 DEA589739 DNW589739 DXS589739 EHO589739 ERK589739 FBG589739 FLC589739 FUY589739 GEU589739 GOQ589739 GYM589739 HII589739 HSE589739 ICA589739 ILW589739 IVS589739 JFO589739 JPK589739 JZG589739 KJC589739 KSY589739 LCU589739 LMQ589739 LWM589739 MGI589739 MQE589739 NAA589739 NJW589739 NTS589739 ODO589739 ONK589739 OXG589739 PHC589739 PQY589739 QAU589739 QKQ589739 QUM589739 REI589739 ROE589739 RYA589739 SHW589739 SRS589739 TBO589739 TLK589739 TVG589739 UFC589739 UOY589739 UYU589739 VIQ589739 VSM589739 WCI589739 WME589739 WWA589739 JO655275 TK655275 ADG655275 ANC655275 AWY655275 BGU655275 BQQ655275 CAM655275 CKI655275 CUE655275 DEA655275 DNW655275 DXS655275 EHO655275 ERK655275 FBG655275 FLC655275 FUY655275 GEU655275 GOQ655275 GYM655275 HII655275 HSE655275 ICA655275 ILW655275 IVS655275 JFO655275 JPK655275 JZG655275 KJC655275 KSY655275 LCU655275 LMQ655275 LWM655275 MGI655275 MQE655275 NAA655275 NJW655275 NTS655275 ODO655275 ONK655275 OXG655275 PHC655275 PQY655275 QAU655275 QKQ655275 QUM655275 REI655275 ROE655275 RYA655275 SHW655275 SRS655275 TBO655275 TLK655275 TVG655275 UFC655275 UOY655275 UYU655275 VIQ655275 VSM655275 WCI655275 WME655275 WWA655275 JO720811 TK720811 ADG720811 ANC720811 AWY720811 BGU720811 BQQ720811 CAM720811 CKI720811 CUE720811 DEA720811 DNW720811 DXS720811 EHO720811 ERK720811 FBG720811 FLC720811 FUY720811 GEU720811 GOQ720811 GYM720811 HII720811 HSE720811 ICA720811 ILW720811 IVS720811 JFO720811 JPK720811 JZG720811 KJC720811 KSY720811 LCU720811 LMQ720811 LWM720811 MGI720811 MQE720811 NAA720811 NJW720811 NTS720811 ODO720811 ONK720811 OXG720811 PHC720811 PQY720811 QAU720811 QKQ720811 QUM720811 REI720811 ROE720811 RYA720811 SHW720811 SRS720811 TBO720811 TLK720811 TVG720811 UFC720811 UOY720811 UYU720811 VIQ720811 VSM720811 WCI720811 WME720811 WWA720811 JO786347 TK786347 ADG786347 ANC786347 AWY786347 BGU786347 BQQ786347 CAM786347 CKI786347 CUE786347 DEA786347 DNW786347 DXS786347 EHO786347 ERK786347 FBG786347 FLC786347 FUY786347 GEU786347 GOQ786347 GYM786347 HII786347 HSE786347 ICA786347 ILW786347 IVS786347 JFO786347 JPK786347 JZG786347 KJC786347 KSY786347 LCU786347 LMQ786347 LWM786347 MGI786347 MQE786347 NAA786347 NJW786347 NTS786347 ODO786347 ONK786347 OXG786347 PHC786347 PQY786347 QAU786347 QKQ786347 QUM786347 REI786347 ROE786347 RYA786347 SHW786347 SRS786347 TBO786347 TLK786347 TVG786347 UFC786347 UOY786347 UYU786347 VIQ786347 VSM786347 WCI786347 WME786347 WWA786347 JO851883 TK851883 ADG851883 ANC851883 AWY851883 BGU851883 BQQ851883 CAM851883 CKI851883 CUE851883 DEA851883 DNW851883 DXS851883 EHO851883 ERK851883 FBG851883 FLC851883 FUY851883 GEU851883 GOQ851883 GYM851883 HII851883 HSE851883 ICA851883 ILW851883 IVS851883 JFO851883 JPK851883 JZG851883 KJC851883 KSY851883 LCU851883 LMQ851883 LWM851883 MGI851883 MQE851883 NAA851883 NJW851883 NTS851883 ODO851883 ONK851883 OXG851883 PHC851883 PQY851883 QAU851883 QKQ851883 QUM851883 REI851883 ROE851883 RYA851883 SHW851883 SRS851883 TBO851883 TLK851883 TVG851883 UFC851883 UOY851883 UYU851883 VIQ851883 VSM851883 WCI851883 WME851883 WWA851883 JO917419 TK917419 ADG917419 ANC917419 AWY917419 BGU917419 BQQ917419 CAM917419 CKI917419 CUE917419 DEA917419 DNW917419 DXS917419 EHO917419 ERK917419 FBG917419 FLC917419 FUY917419 GEU917419 GOQ917419 GYM917419 HII917419 HSE917419 ICA917419 ILW917419 IVS917419 JFO917419 JPK917419 JZG917419 KJC917419 KSY917419 LCU917419 LMQ917419 LWM917419 MGI917419 MQE917419 NAA917419 NJW917419 NTS917419 ODO917419 ONK917419 OXG917419 PHC917419 PQY917419 QAU917419 QKQ917419 QUM917419 REI917419 ROE917419 RYA917419 SHW917419 SRS917419 TBO917419 TLK917419 TVG917419 UFC917419 UOY917419 UYU917419 VIQ917419 VSM917419 WCI917419 WME917419 WWA917419 JO982955 TK982955 ADG982955 ANC982955 AWY982955 BGU982955 BQQ982955 CAM982955 CKI982955 CUE982955 DEA982955 DNW982955 DXS982955 EHO982955 ERK982955 FBG982955 FLC982955 FUY982955 GEU982955 GOQ982955 GYM982955 HII982955 HSE982955 ICA982955 ILW982955 IVS982955 JFO982955 JPK982955 JZG982955 KJC982955 KSY982955 LCU982955 LMQ982955 LWM982955 MGI982955 MQE982955 NAA982955 NJW982955 NTS982955 ODO982955 ONK982955 OXG982955 PHC982955 PQY982955 QAU982955 QKQ982955 QUM982955 REI982955 ROE982955 RYA982955 SHW982955 SRS982955 TBO982955 TLK982955 TVG982955 UFC982955 UOY982955 UYU982955 VIQ982955 VSM982955 WCI982955 WME982955 WWA982955"/>
    <dataValidation allowBlank="1" showInputMessage="1" showErrorMessage="1" prompt="53° 20' 52.4436''" sqref="JM65451 TI65451 ADE65451 ANA65451 AWW65451 BGS65451 BQO65451 CAK65451 CKG65451 CUC65451 DDY65451 DNU65451 DXQ65451 EHM65451 ERI65451 FBE65451 FLA65451 FUW65451 GES65451 GOO65451 GYK65451 HIG65451 HSC65451 IBY65451 ILU65451 IVQ65451 JFM65451 JPI65451 JZE65451 KJA65451 KSW65451 LCS65451 LMO65451 LWK65451 MGG65451 MQC65451 MZY65451 NJU65451 NTQ65451 ODM65451 ONI65451 OXE65451 PHA65451 PQW65451 QAS65451 QKO65451 QUK65451 REG65451 ROC65451 RXY65451 SHU65451 SRQ65451 TBM65451 TLI65451 TVE65451 UFA65451 UOW65451 UYS65451 VIO65451 VSK65451 WCG65451 WMC65451 WVY65451 JM130987 TI130987 ADE130987 ANA130987 AWW130987 BGS130987 BQO130987 CAK130987 CKG130987 CUC130987 DDY130987 DNU130987 DXQ130987 EHM130987 ERI130987 FBE130987 FLA130987 FUW130987 GES130987 GOO130987 GYK130987 HIG130987 HSC130987 IBY130987 ILU130987 IVQ130987 JFM130987 JPI130987 JZE130987 KJA130987 KSW130987 LCS130987 LMO130987 LWK130987 MGG130987 MQC130987 MZY130987 NJU130987 NTQ130987 ODM130987 ONI130987 OXE130987 PHA130987 PQW130987 QAS130987 QKO130987 QUK130987 REG130987 ROC130987 RXY130987 SHU130987 SRQ130987 TBM130987 TLI130987 TVE130987 UFA130987 UOW130987 UYS130987 VIO130987 VSK130987 WCG130987 WMC130987 WVY130987 JM196523 TI196523 ADE196523 ANA196523 AWW196523 BGS196523 BQO196523 CAK196523 CKG196523 CUC196523 DDY196523 DNU196523 DXQ196523 EHM196523 ERI196523 FBE196523 FLA196523 FUW196523 GES196523 GOO196523 GYK196523 HIG196523 HSC196523 IBY196523 ILU196523 IVQ196523 JFM196523 JPI196523 JZE196523 KJA196523 KSW196523 LCS196523 LMO196523 LWK196523 MGG196523 MQC196523 MZY196523 NJU196523 NTQ196523 ODM196523 ONI196523 OXE196523 PHA196523 PQW196523 QAS196523 QKO196523 QUK196523 REG196523 ROC196523 RXY196523 SHU196523 SRQ196523 TBM196523 TLI196523 TVE196523 UFA196523 UOW196523 UYS196523 VIO196523 VSK196523 WCG196523 WMC196523 WVY196523 JM262059 TI262059 ADE262059 ANA262059 AWW262059 BGS262059 BQO262059 CAK262059 CKG262059 CUC262059 DDY262059 DNU262059 DXQ262059 EHM262059 ERI262059 FBE262059 FLA262059 FUW262059 GES262059 GOO262059 GYK262059 HIG262059 HSC262059 IBY262059 ILU262059 IVQ262059 JFM262059 JPI262059 JZE262059 KJA262059 KSW262059 LCS262059 LMO262059 LWK262059 MGG262059 MQC262059 MZY262059 NJU262059 NTQ262059 ODM262059 ONI262059 OXE262059 PHA262059 PQW262059 QAS262059 QKO262059 QUK262059 REG262059 ROC262059 RXY262059 SHU262059 SRQ262059 TBM262059 TLI262059 TVE262059 UFA262059 UOW262059 UYS262059 VIO262059 VSK262059 WCG262059 WMC262059 WVY262059 JM327595 TI327595 ADE327595 ANA327595 AWW327595 BGS327595 BQO327595 CAK327595 CKG327595 CUC327595 DDY327595 DNU327595 DXQ327595 EHM327595 ERI327595 FBE327595 FLA327595 FUW327595 GES327595 GOO327595 GYK327595 HIG327595 HSC327595 IBY327595 ILU327595 IVQ327595 JFM327595 JPI327595 JZE327595 KJA327595 KSW327595 LCS327595 LMO327595 LWK327595 MGG327595 MQC327595 MZY327595 NJU327595 NTQ327595 ODM327595 ONI327595 OXE327595 PHA327595 PQW327595 QAS327595 QKO327595 QUK327595 REG327595 ROC327595 RXY327595 SHU327595 SRQ327595 TBM327595 TLI327595 TVE327595 UFA327595 UOW327595 UYS327595 VIO327595 VSK327595 WCG327595 WMC327595 WVY327595 JM393131 TI393131 ADE393131 ANA393131 AWW393131 BGS393131 BQO393131 CAK393131 CKG393131 CUC393131 DDY393131 DNU393131 DXQ393131 EHM393131 ERI393131 FBE393131 FLA393131 FUW393131 GES393131 GOO393131 GYK393131 HIG393131 HSC393131 IBY393131 ILU393131 IVQ393131 JFM393131 JPI393131 JZE393131 KJA393131 KSW393131 LCS393131 LMO393131 LWK393131 MGG393131 MQC393131 MZY393131 NJU393131 NTQ393131 ODM393131 ONI393131 OXE393131 PHA393131 PQW393131 QAS393131 QKO393131 QUK393131 REG393131 ROC393131 RXY393131 SHU393131 SRQ393131 TBM393131 TLI393131 TVE393131 UFA393131 UOW393131 UYS393131 VIO393131 VSK393131 WCG393131 WMC393131 WVY393131 JM458667 TI458667 ADE458667 ANA458667 AWW458667 BGS458667 BQO458667 CAK458667 CKG458667 CUC458667 DDY458667 DNU458667 DXQ458667 EHM458667 ERI458667 FBE458667 FLA458667 FUW458667 GES458667 GOO458667 GYK458667 HIG458667 HSC458667 IBY458667 ILU458667 IVQ458667 JFM458667 JPI458667 JZE458667 KJA458667 KSW458667 LCS458667 LMO458667 LWK458667 MGG458667 MQC458667 MZY458667 NJU458667 NTQ458667 ODM458667 ONI458667 OXE458667 PHA458667 PQW458667 QAS458667 QKO458667 QUK458667 REG458667 ROC458667 RXY458667 SHU458667 SRQ458667 TBM458667 TLI458667 TVE458667 UFA458667 UOW458667 UYS458667 VIO458667 VSK458667 WCG458667 WMC458667 WVY458667 JM524203 TI524203 ADE524203 ANA524203 AWW524203 BGS524203 BQO524203 CAK524203 CKG524203 CUC524203 DDY524203 DNU524203 DXQ524203 EHM524203 ERI524203 FBE524203 FLA524203 FUW524203 GES524203 GOO524203 GYK524203 HIG524203 HSC524203 IBY524203 ILU524203 IVQ524203 JFM524203 JPI524203 JZE524203 KJA524203 KSW524203 LCS524203 LMO524203 LWK524203 MGG524203 MQC524203 MZY524203 NJU524203 NTQ524203 ODM524203 ONI524203 OXE524203 PHA524203 PQW524203 QAS524203 QKO524203 QUK524203 REG524203 ROC524203 RXY524203 SHU524203 SRQ524203 TBM524203 TLI524203 TVE524203 UFA524203 UOW524203 UYS524203 VIO524203 VSK524203 WCG524203 WMC524203 WVY524203 JM589739 TI589739 ADE589739 ANA589739 AWW589739 BGS589739 BQO589739 CAK589739 CKG589739 CUC589739 DDY589739 DNU589739 DXQ589739 EHM589739 ERI589739 FBE589739 FLA589739 FUW589739 GES589739 GOO589739 GYK589739 HIG589739 HSC589739 IBY589739 ILU589739 IVQ589739 JFM589739 JPI589739 JZE589739 KJA589739 KSW589739 LCS589739 LMO589739 LWK589739 MGG589739 MQC589739 MZY589739 NJU589739 NTQ589739 ODM589739 ONI589739 OXE589739 PHA589739 PQW589739 QAS589739 QKO589739 QUK589739 REG589739 ROC589739 RXY589739 SHU589739 SRQ589739 TBM589739 TLI589739 TVE589739 UFA589739 UOW589739 UYS589739 VIO589739 VSK589739 WCG589739 WMC589739 WVY589739 JM655275 TI655275 ADE655275 ANA655275 AWW655275 BGS655275 BQO655275 CAK655275 CKG655275 CUC655275 DDY655275 DNU655275 DXQ655275 EHM655275 ERI655275 FBE655275 FLA655275 FUW655275 GES655275 GOO655275 GYK655275 HIG655275 HSC655275 IBY655275 ILU655275 IVQ655275 JFM655275 JPI655275 JZE655275 KJA655275 KSW655275 LCS655275 LMO655275 LWK655275 MGG655275 MQC655275 MZY655275 NJU655275 NTQ655275 ODM655275 ONI655275 OXE655275 PHA655275 PQW655275 QAS655275 QKO655275 QUK655275 REG655275 ROC655275 RXY655275 SHU655275 SRQ655275 TBM655275 TLI655275 TVE655275 UFA655275 UOW655275 UYS655275 VIO655275 VSK655275 WCG655275 WMC655275 WVY655275 JM720811 TI720811 ADE720811 ANA720811 AWW720811 BGS720811 BQO720811 CAK720811 CKG720811 CUC720811 DDY720811 DNU720811 DXQ720811 EHM720811 ERI720811 FBE720811 FLA720811 FUW720811 GES720811 GOO720811 GYK720811 HIG720811 HSC720811 IBY720811 ILU720811 IVQ720811 JFM720811 JPI720811 JZE720811 KJA720811 KSW720811 LCS720811 LMO720811 LWK720811 MGG720811 MQC720811 MZY720811 NJU720811 NTQ720811 ODM720811 ONI720811 OXE720811 PHA720811 PQW720811 QAS720811 QKO720811 QUK720811 REG720811 ROC720811 RXY720811 SHU720811 SRQ720811 TBM720811 TLI720811 TVE720811 UFA720811 UOW720811 UYS720811 VIO720811 VSK720811 WCG720811 WMC720811 WVY720811 JM786347 TI786347 ADE786347 ANA786347 AWW786347 BGS786347 BQO786347 CAK786347 CKG786347 CUC786347 DDY786347 DNU786347 DXQ786347 EHM786347 ERI786347 FBE786347 FLA786347 FUW786347 GES786347 GOO786347 GYK786347 HIG786347 HSC786347 IBY786347 ILU786347 IVQ786347 JFM786347 JPI786347 JZE786347 KJA786347 KSW786347 LCS786347 LMO786347 LWK786347 MGG786347 MQC786347 MZY786347 NJU786347 NTQ786347 ODM786347 ONI786347 OXE786347 PHA786347 PQW786347 QAS786347 QKO786347 QUK786347 REG786347 ROC786347 RXY786347 SHU786347 SRQ786347 TBM786347 TLI786347 TVE786347 UFA786347 UOW786347 UYS786347 VIO786347 VSK786347 WCG786347 WMC786347 WVY786347 JM851883 TI851883 ADE851883 ANA851883 AWW851883 BGS851883 BQO851883 CAK851883 CKG851883 CUC851883 DDY851883 DNU851883 DXQ851883 EHM851883 ERI851883 FBE851883 FLA851883 FUW851883 GES851883 GOO851883 GYK851883 HIG851883 HSC851883 IBY851883 ILU851883 IVQ851883 JFM851883 JPI851883 JZE851883 KJA851883 KSW851883 LCS851883 LMO851883 LWK851883 MGG851883 MQC851883 MZY851883 NJU851883 NTQ851883 ODM851883 ONI851883 OXE851883 PHA851883 PQW851883 QAS851883 QKO851883 QUK851883 REG851883 ROC851883 RXY851883 SHU851883 SRQ851883 TBM851883 TLI851883 TVE851883 UFA851883 UOW851883 UYS851883 VIO851883 VSK851883 WCG851883 WMC851883 WVY851883 JM917419 TI917419 ADE917419 ANA917419 AWW917419 BGS917419 BQO917419 CAK917419 CKG917419 CUC917419 DDY917419 DNU917419 DXQ917419 EHM917419 ERI917419 FBE917419 FLA917419 FUW917419 GES917419 GOO917419 GYK917419 HIG917419 HSC917419 IBY917419 ILU917419 IVQ917419 JFM917419 JPI917419 JZE917419 KJA917419 KSW917419 LCS917419 LMO917419 LWK917419 MGG917419 MQC917419 MZY917419 NJU917419 NTQ917419 ODM917419 ONI917419 OXE917419 PHA917419 PQW917419 QAS917419 QKO917419 QUK917419 REG917419 ROC917419 RXY917419 SHU917419 SRQ917419 TBM917419 TLI917419 TVE917419 UFA917419 UOW917419 UYS917419 VIO917419 VSK917419 WCG917419 WMC917419 WVY917419 JM982955 TI982955 ADE982955 ANA982955 AWW982955 BGS982955 BQO982955 CAK982955 CKG982955 CUC982955 DDY982955 DNU982955 DXQ982955 EHM982955 ERI982955 FBE982955 FLA982955 FUW982955 GES982955 GOO982955 GYK982955 HIG982955 HSC982955 IBY982955 ILU982955 IVQ982955 JFM982955 JPI982955 JZE982955 KJA982955 KSW982955 LCS982955 LMO982955 LWK982955 MGG982955 MQC982955 MZY982955 NJU982955 NTQ982955 ODM982955 ONI982955 OXE982955 PHA982955 PQW982955 QAS982955 QKO982955 QUK982955 REG982955 ROC982955 RXY982955 SHU982955 SRQ982955 TBM982955 TLI982955 TVE982955 UFA982955 UOW982955 UYS982955 VIO982955 VSK982955 WCG982955 WMC982955 WVY982955"/>
    <dataValidation allowBlank="1" showInputMessage="1" showErrorMessage="1" prompt="-6.294484" sqref="JO65447 TK65447 ADG65447 ANC65447 AWY65447 BGU65447 BQQ65447 CAM65447 CKI65447 CUE65447 DEA65447 DNW65447 DXS65447 EHO65447 ERK65447 FBG65447 FLC65447 FUY65447 GEU65447 GOQ65447 GYM65447 HII65447 HSE65447 ICA65447 ILW65447 IVS65447 JFO65447 JPK65447 JZG65447 KJC65447 KSY65447 LCU65447 LMQ65447 LWM65447 MGI65447 MQE65447 NAA65447 NJW65447 NTS65447 ODO65447 ONK65447 OXG65447 PHC65447 PQY65447 QAU65447 QKQ65447 QUM65447 REI65447 ROE65447 RYA65447 SHW65447 SRS65447 TBO65447 TLK65447 TVG65447 UFC65447 UOY65447 UYU65447 VIQ65447 VSM65447 WCI65447 WME65447 WWA65447 JO130983 TK130983 ADG130983 ANC130983 AWY130983 BGU130983 BQQ130983 CAM130983 CKI130983 CUE130983 DEA130983 DNW130983 DXS130983 EHO130983 ERK130983 FBG130983 FLC130983 FUY130983 GEU130983 GOQ130983 GYM130983 HII130983 HSE130983 ICA130983 ILW130983 IVS130983 JFO130983 JPK130983 JZG130983 KJC130983 KSY130983 LCU130983 LMQ130983 LWM130983 MGI130983 MQE130983 NAA130983 NJW130983 NTS130983 ODO130983 ONK130983 OXG130983 PHC130983 PQY130983 QAU130983 QKQ130983 QUM130983 REI130983 ROE130983 RYA130983 SHW130983 SRS130983 TBO130983 TLK130983 TVG130983 UFC130983 UOY130983 UYU130983 VIQ130983 VSM130983 WCI130983 WME130983 WWA130983 JO196519 TK196519 ADG196519 ANC196519 AWY196519 BGU196519 BQQ196519 CAM196519 CKI196519 CUE196519 DEA196519 DNW196519 DXS196519 EHO196519 ERK196519 FBG196519 FLC196519 FUY196519 GEU196519 GOQ196519 GYM196519 HII196519 HSE196519 ICA196519 ILW196519 IVS196519 JFO196519 JPK196519 JZG196519 KJC196519 KSY196519 LCU196519 LMQ196519 LWM196519 MGI196519 MQE196519 NAA196519 NJW196519 NTS196519 ODO196519 ONK196519 OXG196519 PHC196519 PQY196519 QAU196519 QKQ196519 QUM196519 REI196519 ROE196519 RYA196519 SHW196519 SRS196519 TBO196519 TLK196519 TVG196519 UFC196519 UOY196519 UYU196519 VIQ196519 VSM196519 WCI196519 WME196519 WWA196519 JO262055 TK262055 ADG262055 ANC262055 AWY262055 BGU262055 BQQ262055 CAM262055 CKI262055 CUE262055 DEA262055 DNW262055 DXS262055 EHO262055 ERK262055 FBG262055 FLC262055 FUY262055 GEU262055 GOQ262055 GYM262055 HII262055 HSE262055 ICA262055 ILW262055 IVS262055 JFO262055 JPK262055 JZG262055 KJC262055 KSY262055 LCU262055 LMQ262055 LWM262055 MGI262055 MQE262055 NAA262055 NJW262055 NTS262055 ODO262055 ONK262055 OXG262055 PHC262055 PQY262055 QAU262055 QKQ262055 QUM262055 REI262055 ROE262055 RYA262055 SHW262055 SRS262055 TBO262055 TLK262055 TVG262055 UFC262055 UOY262055 UYU262055 VIQ262055 VSM262055 WCI262055 WME262055 WWA262055 JO327591 TK327591 ADG327591 ANC327591 AWY327591 BGU327591 BQQ327591 CAM327591 CKI327591 CUE327591 DEA327591 DNW327591 DXS327591 EHO327591 ERK327591 FBG327591 FLC327591 FUY327591 GEU327591 GOQ327591 GYM327591 HII327591 HSE327591 ICA327591 ILW327591 IVS327591 JFO327591 JPK327591 JZG327591 KJC327591 KSY327591 LCU327591 LMQ327591 LWM327591 MGI327591 MQE327591 NAA327591 NJW327591 NTS327591 ODO327591 ONK327591 OXG327591 PHC327591 PQY327591 QAU327591 QKQ327591 QUM327591 REI327591 ROE327591 RYA327591 SHW327591 SRS327591 TBO327591 TLK327591 TVG327591 UFC327591 UOY327591 UYU327591 VIQ327591 VSM327591 WCI327591 WME327591 WWA327591 JO393127 TK393127 ADG393127 ANC393127 AWY393127 BGU393127 BQQ393127 CAM393127 CKI393127 CUE393127 DEA393127 DNW393127 DXS393127 EHO393127 ERK393127 FBG393127 FLC393127 FUY393127 GEU393127 GOQ393127 GYM393127 HII393127 HSE393127 ICA393127 ILW393127 IVS393127 JFO393127 JPK393127 JZG393127 KJC393127 KSY393127 LCU393127 LMQ393127 LWM393127 MGI393127 MQE393127 NAA393127 NJW393127 NTS393127 ODO393127 ONK393127 OXG393127 PHC393127 PQY393127 QAU393127 QKQ393127 QUM393127 REI393127 ROE393127 RYA393127 SHW393127 SRS393127 TBO393127 TLK393127 TVG393127 UFC393127 UOY393127 UYU393127 VIQ393127 VSM393127 WCI393127 WME393127 WWA393127 JO458663 TK458663 ADG458663 ANC458663 AWY458663 BGU458663 BQQ458663 CAM458663 CKI458663 CUE458663 DEA458663 DNW458663 DXS458663 EHO458663 ERK458663 FBG458663 FLC458663 FUY458663 GEU458663 GOQ458663 GYM458663 HII458663 HSE458663 ICA458663 ILW458663 IVS458663 JFO458663 JPK458663 JZG458663 KJC458663 KSY458663 LCU458663 LMQ458663 LWM458663 MGI458663 MQE458663 NAA458663 NJW458663 NTS458663 ODO458663 ONK458663 OXG458663 PHC458663 PQY458663 QAU458663 QKQ458663 QUM458663 REI458663 ROE458663 RYA458663 SHW458663 SRS458663 TBO458663 TLK458663 TVG458663 UFC458663 UOY458663 UYU458663 VIQ458663 VSM458663 WCI458663 WME458663 WWA458663 JO524199 TK524199 ADG524199 ANC524199 AWY524199 BGU524199 BQQ524199 CAM524199 CKI524199 CUE524199 DEA524199 DNW524199 DXS524199 EHO524199 ERK524199 FBG524199 FLC524199 FUY524199 GEU524199 GOQ524199 GYM524199 HII524199 HSE524199 ICA524199 ILW524199 IVS524199 JFO524199 JPK524199 JZG524199 KJC524199 KSY524199 LCU524199 LMQ524199 LWM524199 MGI524199 MQE524199 NAA524199 NJW524199 NTS524199 ODO524199 ONK524199 OXG524199 PHC524199 PQY524199 QAU524199 QKQ524199 QUM524199 REI524199 ROE524199 RYA524199 SHW524199 SRS524199 TBO524199 TLK524199 TVG524199 UFC524199 UOY524199 UYU524199 VIQ524199 VSM524199 WCI524199 WME524199 WWA524199 JO589735 TK589735 ADG589735 ANC589735 AWY589735 BGU589735 BQQ589735 CAM589735 CKI589735 CUE589735 DEA589735 DNW589735 DXS589735 EHO589735 ERK589735 FBG589735 FLC589735 FUY589735 GEU589735 GOQ589735 GYM589735 HII589735 HSE589735 ICA589735 ILW589735 IVS589735 JFO589735 JPK589735 JZG589735 KJC589735 KSY589735 LCU589735 LMQ589735 LWM589735 MGI589735 MQE589735 NAA589735 NJW589735 NTS589735 ODO589735 ONK589735 OXG589735 PHC589735 PQY589735 QAU589735 QKQ589735 QUM589735 REI589735 ROE589735 RYA589735 SHW589735 SRS589735 TBO589735 TLK589735 TVG589735 UFC589735 UOY589735 UYU589735 VIQ589735 VSM589735 WCI589735 WME589735 WWA589735 JO655271 TK655271 ADG655271 ANC655271 AWY655271 BGU655271 BQQ655271 CAM655271 CKI655271 CUE655271 DEA655271 DNW655271 DXS655271 EHO655271 ERK655271 FBG655271 FLC655271 FUY655271 GEU655271 GOQ655271 GYM655271 HII655271 HSE655271 ICA655271 ILW655271 IVS655271 JFO655271 JPK655271 JZG655271 KJC655271 KSY655271 LCU655271 LMQ655271 LWM655271 MGI655271 MQE655271 NAA655271 NJW655271 NTS655271 ODO655271 ONK655271 OXG655271 PHC655271 PQY655271 QAU655271 QKQ655271 QUM655271 REI655271 ROE655271 RYA655271 SHW655271 SRS655271 TBO655271 TLK655271 TVG655271 UFC655271 UOY655271 UYU655271 VIQ655271 VSM655271 WCI655271 WME655271 WWA655271 JO720807 TK720807 ADG720807 ANC720807 AWY720807 BGU720807 BQQ720807 CAM720807 CKI720807 CUE720807 DEA720807 DNW720807 DXS720807 EHO720807 ERK720807 FBG720807 FLC720807 FUY720807 GEU720807 GOQ720807 GYM720807 HII720807 HSE720807 ICA720807 ILW720807 IVS720807 JFO720807 JPK720807 JZG720807 KJC720807 KSY720807 LCU720807 LMQ720807 LWM720807 MGI720807 MQE720807 NAA720807 NJW720807 NTS720807 ODO720807 ONK720807 OXG720807 PHC720807 PQY720807 QAU720807 QKQ720807 QUM720807 REI720807 ROE720807 RYA720807 SHW720807 SRS720807 TBO720807 TLK720807 TVG720807 UFC720807 UOY720807 UYU720807 VIQ720807 VSM720807 WCI720807 WME720807 WWA720807 JO786343 TK786343 ADG786343 ANC786343 AWY786343 BGU786343 BQQ786343 CAM786343 CKI786343 CUE786343 DEA786343 DNW786343 DXS786343 EHO786343 ERK786343 FBG786343 FLC786343 FUY786343 GEU786343 GOQ786343 GYM786343 HII786343 HSE786343 ICA786343 ILW786343 IVS786343 JFO786343 JPK786343 JZG786343 KJC786343 KSY786343 LCU786343 LMQ786343 LWM786343 MGI786343 MQE786343 NAA786343 NJW786343 NTS786343 ODO786343 ONK786343 OXG786343 PHC786343 PQY786343 QAU786343 QKQ786343 QUM786343 REI786343 ROE786343 RYA786343 SHW786343 SRS786343 TBO786343 TLK786343 TVG786343 UFC786343 UOY786343 UYU786343 VIQ786343 VSM786343 WCI786343 WME786343 WWA786343 JO851879 TK851879 ADG851879 ANC851879 AWY851879 BGU851879 BQQ851879 CAM851879 CKI851879 CUE851879 DEA851879 DNW851879 DXS851879 EHO851879 ERK851879 FBG851879 FLC851879 FUY851879 GEU851879 GOQ851879 GYM851879 HII851879 HSE851879 ICA851879 ILW851879 IVS851879 JFO851879 JPK851879 JZG851879 KJC851879 KSY851879 LCU851879 LMQ851879 LWM851879 MGI851879 MQE851879 NAA851879 NJW851879 NTS851879 ODO851879 ONK851879 OXG851879 PHC851879 PQY851879 QAU851879 QKQ851879 QUM851879 REI851879 ROE851879 RYA851879 SHW851879 SRS851879 TBO851879 TLK851879 TVG851879 UFC851879 UOY851879 UYU851879 VIQ851879 VSM851879 WCI851879 WME851879 WWA851879 JO917415 TK917415 ADG917415 ANC917415 AWY917415 BGU917415 BQQ917415 CAM917415 CKI917415 CUE917415 DEA917415 DNW917415 DXS917415 EHO917415 ERK917415 FBG917415 FLC917415 FUY917415 GEU917415 GOQ917415 GYM917415 HII917415 HSE917415 ICA917415 ILW917415 IVS917415 JFO917415 JPK917415 JZG917415 KJC917415 KSY917415 LCU917415 LMQ917415 LWM917415 MGI917415 MQE917415 NAA917415 NJW917415 NTS917415 ODO917415 ONK917415 OXG917415 PHC917415 PQY917415 QAU917415 QKQ917415 QUM917415 REI917415 ROE917415 RYA917415 SHW917415 SRS917415 TBO917415 TLK917415 TVG917415 UFC917415 UOY917415 UYU917415 VIQ917415 VSM917415 WCI917415 WME917415 WWA917415 JO982951 TK982951 ADG982951 ANC982951 AWY982951 BGU982951 BQQ982951 CAM982951 CKI982951 CUE982951 DEA982951 DNW982951 DXS982951 EHO982951 ERK982951 FBG982951 FLC982951 FUY982951 GEU982951 GOQ982951 GYM982951 HII982951 HSE982951 ICA982951 ILW982951 IVS982951 JFO982951 JPK982951 JZG982951 KJC982951 KSY982951 LCU982951 LMQ982951 LWM982951 MGI982951 MQE982951 NAA982951 NJW982951 NTS982951 ODO982951 ONK982951 OXG982951 PHC982951 PQY982951 QAU982951 QKQ982951 QUM982951 REI982951 ROE982951 RYA982951 SHW982951 SRS982951 TBO982951 TLK982951 TVG982951 UFC982951 UOY982951 UYU982951 VIQ982951 VSM982951 WCI982951 WME982951 WWA982951"/>
    <dataValidation allowBlank="1" showInputMessage="1" showErrorMessage="1" prompt="53.347901" sqref="JM65447 TI65447 ADE65447 ANA65447 AWW65447 BGS65447 BQO65447 CAK65447 CKG65447 CUC65447 DDY65447 DNU65447 DXQ65447 EHM65447 ERI65447 FBE65447 FLA65447 FUW65447 GES65447 GOO65447 GYK65447 HIG65447 HSC65447 IBY65447 ILU65447 IVQ65447 JFM65447 JPI65447 JZE65447 KJA65447 KSW65447 LCS65447 LMO65447 LWK65447 MGG65447 MQC65447 MZY65447 NJU65447 NTQ65447 ODM65447 ONI65447 OXE65447 PHA65447 PQW65447 QAS65447 QKO65447 QUK65447 REG65447 ROC65447 RXY65447 SHU65447 SRQ65447 TBM65447 TLI65447 TVE65447 UFA65447 UOW65447 UYS65447 VIO65447 VSK65447 WCG65447 WMC65447 WVY65447 JM130983 TI130983 ADE130983 ANA130983 AWW130983 BGS130983 BQO130983 CAK130983 CKG130983 CUC130983 DDY130983 DNU130983 DXQ130983 EHM130983 ERI130983 FBE130983 FLA130983 FUW130983 GES130983 GOO130983 GYK130983 HIG130983 HSC130983 IBY130983 ILU130983 IVQ130983 JFM130983 JPI130983 JZE130983 KJA130983 KSW130983 LCS130983 LMO130983 LWK130983 MGG130983 MQC130983 MZY130983 NJU130983 NTQ130983 ODM130983 ONI130983 OXE130983 PHA130983 PQW130983 QAS130983 QKO130983 QUK130983 REG130983 ROC130983 RXY130983 SHU130983 SRQ130983 TBM130983 TLI130983 TVE130983 UFA130983 UOW130983 UYS130983 VIO130983 VSK130983 WCG130983 WMC130983 WVY130983 JM196519 TI196519 ADE196519 ANA196519 AWW196519 BGS196519 BQO196519 CAK196519 CKG196519 CUC196519 DDY196519 DNU196519 DXQ196519 EHM196519 ERI196519 FBE196519 FLA196519 FUW196519 GES196519 GOO196519 GYK196519 HIG196519 HSC196519 IBY196519 ILU196519 IVQ196519 JFM196519 JPI196519 JZE196519 KJA196519 KSW196519 LCS196519 LMO196519 LWK196519 MGG196519 MQC196519 MZY196519 NJU196519 NTQ196519 ODM196519 ONI196519 OXE196519 PHA196519 PQW196519 QAS196519 QKO196519 QUK196519 REG196519 ROC196519 RXY196519 SHU196519 SRQ196519 TBM196519 TLI196519 TVE196519 UFA196519 UOW196519 UYS196519 VIO196519 VSK196519 WCG196519 WMC196519 WVY196519 JM262055 TI262055 ADE262055 ANA262055 AWW262055 BGS262055 BQO262055 CAK262055 CKG262055 CUC262055 DDY262055 DNU262055 DXQ262055 EHM262055 ERI262055 FBE262055 FLA262055 FUW262055 GES262055 GOO262055 GYK262055 HIG262055 HSC262055 IBY262055 ILU262055 IVQ262055 JFM262055 JPI262055 JZE262055 KJA262055 KSW262055 LCS262055 LMO262055 LWK262055 MGG262055 MQC262055 MZY262055 NJU262055 NTQ262055 ODM262055 ONI262055 OXE262055 PHA262055 PQW262055 QAS262055 QKO262055 QUK262055 REG262055 ROC262055 RXY262055 SHU262055 SRQ262055 TBM262055 TLI262055 TVE262055 UFA262055 UOW262055 UYS262055 VIO262055 VSK262055 WCG262055 WMC262055 WVY262055 JM327591 TI327591 ADE327591 ANA327591 AWW327591 BGS327591 BQO327591 CAK327591 CKG327591 CUC327591 DDY327591 DNU327591 DXQ327591 EHM327591 ERI327591 FBE327591 FLA327591 FUW327591 GES327591 GOO327591 GYK327591 HIG327591 HSC327591 IBY327591 ILU327591 IVQ327591 JFM327591 JPI327591 JZE327591 KJA327591 KSW327591 LCS327591 LMO327591 LWK327591 MGG327591 MQC327591 MZY327591 NJU327591 NTQ327591 ODM327591 ONI327591 OXE327591 PHA327591 PQW327591 QAS327591 QKO327591 QUK327591 REG327591 ROC327591 RXY327591 SHU327591 SRQ327591 TBM327591 TLI327591 TVE327591 UFA327591 UOW327591 UYS327591 VIO327591 VSK327591 WCG327591 WMC327591 WVY327591 JM393127 TI393127 ADE393127 ANA393127 AWW393127 BGS393127 BQO393127 CAK393127 CKG393127 CUC393127 DDY393127 DNU393127 DXQ393127 EHM393127 ERI393127 FBE393127 FLA393127 FUW393127 GES393127 GOO393127 GYK393127 HIG393127 HSC393127 IBY393127 ILU393127 IVQ393127 JFM393127 JPI393127 JZE393127 KJA393127 KSW393127 LCS393127 LMO393127 LWK393127 MGG393127 MQC393127 MZY393127 NJU393127 NTQ393127 ODM393127 ONI393127 OXE393127 PHA393127 PQW393127 QAS393127 QKO393127 QUK393127 REG393127 ROC393127 RXY393127 SHU393127 SRQ393127 TBM393127 TLI393127 TVE393127 UFA393127 UOW393127 UYS393127 VIO393127 VSK393127 WCG393127 WMC393127 WVY393127 JM458663 TI458663 ADE458663 ANA458663 AWW458663 BGS458663 BQO458663 CAK458663 CKG458663 CUC458663 DDY458663 DNU458663 DXQ458663 EHM458663 ERI458663 FBE458663 FLA458663 FUW458663 GES458663 GOO458663 GYK458663 HIG458663 HSC458663 IBY458663 ILU458663 IVQ458663 JFM458663 JPI458663 JZE458663 KJA458663 KSW458663 LCS458663 LMO458663 LWK458663 MGG458663 MQC458663 MZY458663 NJU458663 NTQ458663 ODM458663 ONI458663 OXE458663 PHA458663 PQW458663 QAS458663 QKO458663 QUK458663 REG458663 ROC458663 RXY458663 SHU458663 SRQ458663 TBM458663 TLI458663 TVE458663 UFA458663 UOW458663 UYS458663 VIO458663 VSK458663 WCG458663 WMC458663 WVY458663 JM524199 TI524199 ADE524199 ANA524199 AWW524199 BGS524199 BQO524199 CAK524199 CKG524199 CUC524199 DDY524199 DNU524199 DXQ524199 EHM524199 ERI524199 FBE524199 FLA524199 FUW524199 GES524199 GOO524199 GYK524199 HIG524199 HSC524199 IBY524199 ILU524199 IVQ524199 JFM524199 JPI524199 JZE524199 KJA524199 KSW524199 LCS524199 LMO524199 LWK524199 MGG524199 MQC524199 MZY524199 NJU524199 NTQ524199 ODM524199 ONI524199 OXE524199 PHA524199 PQW524199 QAS524199 QKO524199 QUK524199 REG524199 ROC524199 RXY524199 SHU524199 SRQ524199 TBM524199 TLI524199 TVE524199 UFA524199 UOW524199 UYS524199 VIO524199 VSK524199 WCG524199 WMC524199 WVY524199 JM589735 TI589735 ADE589735 ANA589735 AWW589735 BGS589735 BQO589735 CAK589735 CKG589735 CUC589735 DDY589735 DNU589735 DXQ589735 EHM589735 ERI589735 FBE589735 FLA589735 FUW589735 GES589735 GOO589735 GYK589735 HIG589735 HSC589735 IBY589735 ILU589735 IVQ589735 JFM589735 JPI589735 JZE589735 KJA589735 KSW589735 LCS589735 LMO589735 LWK589735 MGG589735 MQC589735 MZY589735 NJU589735 NTQ589735 ODM589735 ONI589735 OXE589735 PHA589735 PQW589735 QAS589735 QKO589735 QUK589735 REG589735 ROC589735 RXY589735 SHU589735 SRQ589735 TBM589735 TLI589735 TVE589735 UFA589735 UOW589735 UYS589735 VIO589735 VSK589735 WCG589735 WMC589735 WVY589735 JM655271 TI655271 ADE655271 ANA655271 AWW655271 BGS655271 BQO655271 CAK655271 CKG655271 CUC655271 DDY655271 DNU655271 DXQ655271 EHM655271 ERI655271 FBE655271 FLA655271 FUW655271 GES655271 GOO655271 GYK655271 HIG655271 HSC655271 IBY655271 ILU655271 IVQ655271 JFM655271 JPI655271 JZE655271 KJA655271 KSW655271 LCS655271 LMO655271 LWK655271 MGG655271 MQC655271 MZY655271 NJU655271 NTQ655271 ODM655271 ONI655271 OXE655271 PHA655271 PQW655271 QAS655271 QKO655271 QUK655271 REG655271 ROC655271 RXY655271 SHU655271 SRQ655271 TBM655271 TLI655271 TVE655271 UFA655271 UOW655271 UYS655271 VIO655271 VSK655271 WCG655271 WMC655271 WVY655271 JM720807 TI720807 ADE720807 ANA720807 AWW720807 BGS720807 BQO720807 CAK720807 CKG720807 CUC720807 DDY720807 DNU720807 DXQ720807 EHM720807 ERI720807 FBE720807 FLA720807 FUW720807 GES720807 GOO720807 GYK720807 HIG720807 HSC720807 IBY720807 ILU720807 IVQ720807 JFM720807 JPI720807 JZE720807 KJA720807 KSW720807 LCS720807 LMO720807 LWK720807 MGG720807 MQC720807 MZY720807 NJU720807 NTQ720807 ODM720807 ONI720807 OXE720807 PHA720807 PQW720807 QAS720807 QKO720807 QUK720807 REG720807 ROC720807 RXY720807 SHU720807 SRQ720807 TBM720807 TLI720807 TVE720807 UFA720807 UOW720807 UYS720807 VIO720807 VSK720807 WCG720807 WMC720807 WVY720807 JM786343 TI786343 ADE786343 ANA786343 AWW786343 BGS786343 BQO786343 CAK786343 CKG786343 CUC786343 DDY786343 DNU786343 DXQ786343 EHM786343 ERI786343 FBE786343 FLA786343 FUW786343 GES786343 GOO786343 GYK786343 HIG786343 HSC786343 IBY786343 ILU786343 IVQ786343 JFM786343 JPI786343 JZE786343 KJA786343 KSW786343 LCS786343 LMO786343 LWK786343 MGG786343 MQC786343 MZY786343 NJU786343 NTQ786343 ODM786343 ONI786343 OXE786343 PHA786343 PQW786343 QAS786343 QKO786343 QUK786343 REG786343 ROC786343 RXY786343 SHU786343 SRQ786343 TBM786343 TLI786343 TVE786343 UFA786343 UOW786343 UYS786343 VIO786343 VSK786343 WCG786343 WMC786343 WVY786343 JM851879 TI851879 ADE851879 ANA851879 AWW851879 BGS851879 BQO851879 CAK851879 CKG851879 CUC851879 DDY851879 DNU851879 DXQ851879 EHM851879 ERI851879 FBE851879 FLA851879 FUW851879 GES851879 GOO851879 GYK851879 HIG851879 HSC851879 IBY851879 ILU851879 IVQ851879 JFM851879 JPI851879 JZE851879 KJA851879 KSW851879 LCS851879 LMO851879 LWK851879 MGG851879 MQC851879 MZY851879 NJU851879 NTQ851879 ODM851879 ONI851879 OXE851879 PHA851879 PQW851879 QAS851879 QKO851879 QUK851879 REG851879 ROC851879 RXY851879 SHU851879 SRQ851879 TBM851879 TLI851879 TVE851879 UFA851879 UOW851879 UYS851879 VIO851879 VSK851879 WCG851879 WMC851879 WVY851879 JM917415 TI917415 ADE917415 ANA917415 AWW917415 BGS917415 BQO917415 CAK917415 CKG917415 CUC917415 DDY917415 DNU917415 DXQ917415 EHM917415 ERI917415 FBE917415 FLA917415 FUW917415 GES917415 GOO917415 GYK917415 HIG917415 HSC917415 IBY917415 ILU917415 IVQ917415 JFM917415 JPI917415 JZE917415 KJA917415 KSW917415 LCS917415 LMO917415 LWK917415 MGG917415 MQC917415 MZY917415 NJU917415 NTQ917415 ODM917415 ONI917415 OXE917415 PHA917415 PQW917415 QAS917415 QKO917415 QUK917415 REG917415 ROC917415 RXY917415 SHU917415 SRQ917415 TBM917415 TLI917415 TVE917415 UFA917415 UOW917415 UYS917415 VIO917415 VSK917415 WCG917415 WMC917415 WVY917415 JM982951 TI982951 ADE982951 ANA982951 AWW982951 BGS982951 BQO982951 CAK982951 CKG982951 CUC982951 DDY982951 DNU982951 DXQ982951 EHM982951 ERI982951 FBE982951 FLA982951 FUW982951 GES982951 GOO982951 GYK982951 HIG982951 HSC982951 IBY982951 ILU982951 IVQ982951 JFM982951 JPI982951 JZE982951 KJA982951 KSW982951 LCS982951 LMO982951 LWK982951 MGG982951 MQC982951 MZY982951 NJU982951 NTQ982951 ODM982951 ONI982951 OXE982951 PHA982951 PQW982951 QAS982951 QKO982951 QUK982951 REG982951 ROC982951 RXY982951 SHU982951 SRQ982951 TBM982951 TLI982951 TVE982951 UFA982951 UOW982951 UYS982951 VIO982951 VSK982951 WCG982951 WMC982951 WVY982951"/>
  </dataValidations>
  <pageMargins left="0.25" right="0.25" top="0.75" bottom="0.75" header="0.3" footer="0.3"/>
  <pageSetup paperSize="8"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ignoredErrors>
    <ignoredError sqref="K26 K27:K30 K17:K2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85" zoomScaleNormal="100" zoomScalePageLayoutView="85" workbookViewId="0">
      <selection activeCell="A7" sqref="A7"/>
    </sheetView>
  </sheetViews>
  <sheetFormatPr defaultRowHeight="15" customHeight="1" x14ac:dyDescent="0.3"/>
  <cols>
    <col min="1" max="1" width="7.5546875" style="2" customWidth="1"/>
    <col min="2" max="2" width="8.88671875" style="20" customWidth="1"/>
    <col min="3" max="3" width="12" style="2" customWidth="1"/>
    <col min="4" max="4" width="8.88671875" style="2" customWidth="1"/>
    <col min="5" max="5" width="6" style="2" customWidth="1"/>
    <col min="6" max="6" width="5" style="2" customWidth="1"/>
    <col min="7" max="8" width="8.5546875" style="2" bestFit="1" customWidth="1"/>
    <col min="9" max="10" width="11.21875" style="8" customWidth="1"/>
    <col min="11" max="11" width="8.21875" style="8" customWidth="1"/>
    <col min="12" max="12" width="11.21875" style="8" customWidth="1"/>
    <col min="13" max="13" width="8.21875" style="8" customWidth="1"/>
    <col min="14" max="14" width="11.33203125" style="8" customWidth="1"/>
    <col min="15" max="15" width="8.33203125" style="8" customWidth="1"/>
    <col min="16" max="19" width="12.21875" style="2" customWidth="1"/>
    <col min="20" max="21" width="5.88671875" style="2" customWidth="1"/>
    <col min="22" max="22" width="8.21875" style="2" customWidth="1"/>
    <col min="23" max="272" width="7.6640625" style="2" customWidth="1"/>
    <col min="273" max="273" width="14.33203125" style="2" customWidth="1"/>
    <col min="274" max="274" width="4" style="2" customWidth="1"/>
    <col min="275" max="275" width="14.33203125" style="2" customWidth="1"/>
    <col min="276" max="276" width="4" style="2" customWidth="1"/>
    <col min="277" max="528" width="7.6640625" style="2" customWidth="1"/>
    <col min="529" max="529" width="14.33203125" style="2" customWidth="1"/>
    <col min="530" max="530" width="4" style="2" customWidth="1"/>
    <col min="531" max="531" width="14.33203125" style="2" customWidth="1"/>
    <col min="532" max="532" width="4" style="2" customWidth="1"/>
    <col min="533" max="784" width="7.6640625" style="2" customWidth="1"/>
    <col min="785" max="785" width="14.33203125" style="2" customWidth="1"/>
    <col min="786" max="786" width="4" style="2" customWidth="1"/>
    <col min="787" max="787" width="14.33203125" style="2" customWidth="1"/>
    <col min="788" max="788" width="4" style="2" customWidth="1"/>
    <col min="789" max="1040" width="7.6640625" style="2" customWidth="1"/>
    <col min="1041" max="1041" width="14.33203125" style="2" customWidth="1"/>
    <col min="1042" max="1042" width="4" style="2" customWidth="1"/>
    <col min="1043" max="1043" width="14.33203125" style="2" customWidth="1"/>
    <col min="1044" max="1044" width="4" style="2" customWidth="1"/>
    <col min="1045" max="1296" width="7.6640625" style="2" customWidth="1"/>
    <col min="1297" max="1297" width="14.33203125" style="2" customWidth="1"/>
    <col min="1298" max="1298" width="4" style="2" customWidth="1"/>
    <col min="1299" max="1299" width="14.33203125" style="2" customWidth="1"/>
    <col min="1300" max="1300" width="4" style="2" customWidth="1"/>
    <col min="1301" max="1552" width="7.6640625" style="2" customWidth="1"/>
    <col min="1553" max="1553" width="14.33203125" style="2" customWidth="1"/>
    <col min="1554" max="1554" width="4" style="2" customWidth="1"/>
    <col min="1555" max="1555" width="14.33203125" style="2" customWidth="1"/>
    <col min="1556" max="1556" width="4" style="2" customWidth="1"/>
    <col min="1557" max="1808" width="7.6640625" style="2" customWidth="1"/>
    <col min="1809" max="1809" width="14.33203125" style="2" customWidth="1"/>
    <col min="1810" max="1810" width="4" style="2" customWidth="1"/>
    <col min="1811" max="1811" width="14.33203125" style="2" customWidth="1"/>
    <col min="1812" max="1812" width="4" style="2" customWidth="1"/>
    <col min="1813" max="2064" width="7.6640625" style="2" customWidth="1"/>
    <col min="2065" max="2065" width="14.33203125" style="2" customWidth="1"/>
    <col min="2066" max="2066" width="4" style="2" customWidth="1"/>
    <col min="2067" max="2067" width="14.33203125" style="2" customWidth="1"/>
    <col min="2068" max="2068" width="4" style="2" customWidth="1"/>
    <col min="2069" max="2320" width="7.6640625" style="2" customWidth="1"/>
    <col min="2321" max="2321" width="14.33203125" style="2" customWidth="1"/>
    <col min="2322" max="2322" width="4" style="2" customWidth="1"/>
    <col min="2323" max="2323" width="14.33203125" style="2" customWidth="1"/>
    <col min="2324" max="2324" width="4" style="2" customWidth="1"/>
    <col min="2325" max="2576" width="7.6640625" style="2" customWidth="1"/>
    <col min="2577" max="2577" width="14.33203125" style="2" customWidth="1"/>
    <col min="2578" max="2578" width="4" style="2" customWidth="1"/>
    <col min="2579" max="2579" width="14.33203125" style="2" customWidth="1"/>
    <col min="2580" max="2580" width="4" style="2" customWidth="1"/>
    <col min="2581" max="2832" width="7.6640625" style="2" customWidth="1"/>
    <col min="2833" max="2833" width="14.33203125" style="2" customWidth="1"/>
    <col min="2834" max="2834" width="4" style="2" customWidth="1"/>
    <col min="2835" max="2835" width="14.33203125" style="2" customWidth="1"/>
    <col min="2836" max="2836" width="4" style="2" customWidth="1"/>
    <col min="2837" max="3088" width="7.6640625" style="2" customWidth="1"/>
    <col min="3089" max="3089" width="14.33203125" style="2" customWidth="1"/>
    <col min="3090" max="3090" width="4" style="2" customWidth="1"/>
    <col min="3091" max="3091" width="14.33203125" style="2" customWidth="1"/>
    <col min="3092" max="3092" width="4" style="2" customWidth="1"/>
    <col min="3093" max="3344" width="7.6640625" style="2" customWidth="1"/>
    <col min="3345" max="3345" width="14.33203125" style="2" customWidth="1"/>
    <col min="3346" max="3346" width="4" style="2" customWidth="1"/>
    <col min="3347" max="3347" width="14.33203125" style="2" customWidth="1"/>
    <col min="3348" max="3348" width="4" style="2" customWidth="1"/>
    <col min="3349" max="3600" width="7.6640625" style="2" customWidth="1"/>
    <col min="3601" max="3601" width="14.33203125" style="2" customWidth="1"/>
    <col min="3602" max="3602" width="4" style="2" customWidth="1"/>
    <col min="3603" max="3603" width="14.33203125" style="2" customWidth="1"/>
    <col min="3604" max="3604" width="4" style="2" customWidth="1"/>
    <col min="3605" max="3856" width="7.6640625" style="2" customWidth="1"/>
    <col min="3857" max="3857" width="14.33203125" style="2" customWidth="1"/>
    <col min="3858" max="3858" width="4" style="2" customWidth="1"/>
    <col min="3859" max="3859" width="14.33203125" style="2" customWidth="1"/>
    <col min="3860" max="3860" width="4" style="2" customWidth="1"/>
    <col min="3861" max="4112" width="7.6640625" style="2" customWidth="1"/>
    <col min="4113" max="4113" width="14.33203125" style="2" customWidth="1"/>
    <col min="4114" max="4114" width="4" style="2" customWidth="1"/>
    <col min="4115" max="4115" width="14.33203125" style="2" customWidth="1"/>
    <col min="4116" max="4116" width="4" style="2" customWidth="1"/>
    <col min="4117" max="4368" width="7.6640625" style="2" customWidth="1"/>
    <col min="4369" max="4369" width="14.33203125" style="2" customWidth="1"/>
    <col min="4370" max="4370" width="4" style="2" customWidth="1"/>
    <col min="4371" max="4371" width="14.33203125" style="2" customWidth="1"/>
    <col min="4372" max="4372" width="4" style="2" customWidth="1"/>
    <col min="4373" max="4624" width="7.6640625" style="2" customWidth="1"/>
    <col min="4625" max="4625" width="14.33203125" style="2" customWidth="1"/>
    <col min="4626" max="4626" width="4" style="2" customWidth="1"/>
    <col min="4627" max="4627" width="14.33203125" style="2" customWidth="1"/>
    <col min="4628" max="4628" width="4" style="2" customWidth="1"/>
    <col min="4629" max="4880" width="7.6640625" style="2" customWidth="1"/>
    <col min="4881" max="4881" width="14.33203125" style="2" customWidth="1"/>
    <col min="4882" max="4882" width="4" style="2" customWidth="1"/>
    <col min="4883" max="4883" width="14.33203125" style="2" customWidth="1"/>
    <col min="4884" max="4884" width="4" style="2" customWidth="1"/>
    <col min="4885" max="5136" width="7.6640625" style="2" customWidth="1"/>
    <col min="5137" max="5137" width="14.33203125" style="2" customWidth="1"/>
    <col min="5138" max="5138" width="4" style="2" customWidth="1"/>
    <col min="5139" max="5139" width="14.33203125" style="2" customWidth="1"/>
    <col min="5140" max="5140" width="4" style="2" customWidth="1"/>
    <col min="5141" max="5392" width="7.6640625" style="2" customWidth="1"/>
    <col min="5393" max="5393" width="14.33203125" style="2" customWidth="1"/>
    <col min="5394" max="5394" width="4" style="2" customWidth="1"/>
    <col min="5395" max="5395" width="14.33203125" style="2" customWidth="1"/>
    <col min="5396" max="5396" width="4" style="2" customWidth="1"/>
    <col min="5397" max="5648" width="7.6640625" style="2" customWidth="1"/>
    <col min="5649" max="5649" width="14.33203125" style="2" customWidth="1"/>
    <col min="5650" max="5650" width="4" style="2" customWidth="1"/>
    <col min="5651" max="5651" width="14.33203125" style="2" customWidth="1"/>
    <col min="5652" max="5652" width="4" style="2" customWidth="1"/>
    <col min="5653" max="5904" width="7.6640625" style="2" customWidth="1"/>
    <col min="5905" max="5905" width="14.33203125" style="2" customWidth="1"/>
    <col min="5906" max="5906" width="4" style="2" customWidth="1"/>
    <col min="5907" max="5907" width="14.33203125" style="2" customWidth="1"/>
    <col min="5908" max="5908" width="4" style="2" customWidth="1"/>
    <col min="5909" max="6160" width="7.6640625" style="2" customWidth="1"/>
    <col min="6161" max="6161" width="14.33203125" style="2" customWidth="1"/>
    <col min="6162" max="6162" width="4" style="2" customWidth="1"/>
    <col min="6163" max="6163" width="14.33203125" style="2" customWidth="1"/>
    <col min="6164" max="6164" width="4" style="2" customWidth="1"/>
    <col min="6165" max="6416" width="7.6640625" style="2" customWidth="1"/>
    <col min="6417" max="6417" width="14.33203125" style="2" customWidth="1"/>
    <col min="6418" max="6418" width="4" style="2" customWidth="1"/>
    <col min="6419" max="6419" width="14.33203125" style="2" customWidth="1"/>
    <col min="6420" max="6420" width="4" style="2" customWidth="1"/>
    <col min="6421" max="6672" width="7.6640625" style="2" customWidth="1"/>
    <col min="6673" max="6673" width="14.33203125" style="2" customWidth="1"/>
    <col min="6674" max="6674" width="4" style="2" customWidth="1"/>
    <col min="6675" max="6675" width="14.33203125" style="2" customWidth="1"/>
    <col min="6676" max="6676" width="4" style="2" customWidth="1"/>
    <col min="6677" max="6928" width="7.6640625" style="2" customWidth="1"/>
    <col min="6929" max="6929" width="14.33203125" style="2" customWidth="1"/>
    <col min="6930" max="6930" width="4" style="2" customWidth="1"/>
    <col min="6931" max="6931" width="14.33203125" style="2" customWidth="1"/>
    <col min="6932" max="6932" width="4" style="2" customWidth="1"/>
    <col min="6933" max="7184" width="7.6640625" style="2" customWidth="1"/>
    <col min="7185" max="7185" width="14.33203125" style="2" customWidth="1"/>
    <col min="7186" max="7186" width="4" style="2" customWidth="1"/>
    <col min="7187" max="7187" width="14.33203125" style="2" customWidth="1"/>
    <col min="7188" max="7188" width="4" style="2" customWidth="1"/>
    <col min="7189" max="7440" width="7.6640625" style="2" customWidth="1"/>
    <col min="7441" max="7441" width="14.33203125" style="2" customWidth="1"/>
    <col min="7442" max="7442" width="4" style="2" customWidth="1"/>
    <col min="7443" max="7443" width="14.33203125" style="2" customWidth="1"/>
    <col min="7444" max="7444" width="4" style="2" customWidth="1"/>
    <col min="7445" max="7696" width="7.6640625" style="2" customWidth="1"/>
    <col min="7697" max="7697" width="14.33203125" style="2" customWidth="1"/>
    <col min="7698" max="7698" width="4" style="2" customWidth="1"/>
    <col min="7699" max="7699" width="14.33203125" style="2" customWidth="1"/>
    <col min="7700" max="7700" width="4" style="2" customWidth="1"/>
    <col min="7701" max="7952" width="7.6640625" style="2" customWidth="1"/>
    <col min="7953" max="7953" width="14.33203125" style="2" customWidth="1"/>
    <col min="7954" max="7954" width="4" style="2" customWidth="1"/>
    <col min="7955" max="7955" width="14.33203125" style="2" customWidth="1"/>
    <col min="7956" max="7956" width="4" style="2" customWidth="1"/>
    <col min="7957" max="8208" width="7.6640625" style="2" customWidth="1"/>
    <col min="8209" max="8209" width="14.33203125" style="2" customWidth="1"/>
    <col min="8210" max="8210" width="4" style="2" customWidth="1"/>
    <col min="8211" max="8211" width="14.33203125" style="2" customWidth="1"/>
    <col min="8212" max="8212" width="4" style="2" customWidth="1"/>
    <col min="8213" max="8464" width="7.6640625" style="2" customWidth="1"/>
    <col min="8465" max="8465" width="14.33203125" style="2" customWidth="1"/>
    <col min="8466" max="8466" width="4" style="2" customWidth="1"/>
    <col min="8467" max="8467" width="14.33203125" style="2" customWidth="1"/>
    <col min="8468" max="8468" width="4" style="2" customWidth="1"/>
    <col min="8469" max="8720" width="7.6640625" style="2" customWidth="1"/>
    <col min="8721" max="8721" width="14.33203125" style="2" customWidth="1"/>
    <col min="8722" max="8722" width="4" style="2" customWidth="1"/>
    <col min="8723" max="8723" width="14.33203125" style="2" customWidth="1"/>
    <col min="8724" max="8724" width="4" style="2" customWidth="1"/>
    <col min="8725" max="8976" width="7.6640625" style="2" customWidth="1"/>
    <col min="8977" max="8977" width="14.33203125" style="2" customWidth="1"/>
    <col min="8978" max="8978" width="4" style="2" customWidth="1"/>
    <col min="8979" max="8979" width="14.33203125" style="2" customWidth="1"/>
    <col min="8980" max="8980" width="4" style="2" customWidth="1"/>
    <col min="8981" max="9232" width="7.6640625" style="2" customWidth="1"/>
    <col min="9233" max="9233" width="14.33203125" style="2" customWidth="1"/>
    <col min="9234" max="9234" width="4" style="2" customWidth="1"/>
    <col min="9235" max="9235" width="14.33203125" style="2" customWidth="1"/>
    <col min="9236" max="9236" width="4" style="2" customWidth="1"/>
    <col min="9237" max="9488" width="7.6640625" style="2" customWidth="1"/>
    <col min="9489" max="9489" width="14.33203125" style="2" customWidth="1"/>
    <col min="9490" max="9490" width="4" style="2" customWidth="1"/>
    <col min="9491" max="9491" width="14.33203125" style="2" customWidth="1"/>
    <col min="9492" max="9492" width="4" style="2" customWidth="1"/>
    <col min="9493" max="9744" width="7.6640625" style="2" customWidth="1"/>
    <col min="9745" max="9745" width="14.33203125" style="2" customWidth="1"/>
    <col min="9746" max="9746" width="4" style="2" customWidth="1"/>
    <col min="9747" max="9747" width="14.33203125" style="2" customWidth="1"/>
    <col min="9748" max="9748" width="4" style="2" customWidth="1"/>
    <col min="9749" max="10000" width="7.6640625" style="2" customWidth="1"/>
    <col min="10001" max="10001" width="14.33203125" style="2" customWidth="1"/>
    <col min="10002" max="10002" width="4" style="2" customWidth="1"/>
    <col min="10003" max="10003" width="14.33203125" style="2" customWidth="1"/>
    <col min="10004" max="10004" width="4" style="2" customWidth="1"/>
    <col min="10005" max="10256" width="7.6640625" style="2" customWidth="1"/>
    <col min="10257" max="10257" width="14.33203125" style="2" customWidth="1"/>
    <col min="10258" max="10258" width="4" style="2" customWidth="1"/>
    <col min="10259" max="10259" width="14.33203125" style="2" customWidth="1"/>
    <col min="10260" max="10260" width="4" style="2" customWidth="1"/>
    <col min="10261" max="10512" width="7.6640625" style="2" customWidth="1"/>
    <col min="10513" max="10513" width="14.33203125" style="2" customWidth="1"/>
    <col min="10514" max="10514" width="4" style="2" customWidth="1"/>
    <col min="10515" max="10515" width="14.33203125" style="2" customWidth="1"/>
    <col min="10516" max="10516" width="4" style="2" customWidth="1"/>
    <col min="10517" max="10768" width="7.6640625" style="2" customWidth="1"/>
    <col min="10769" max="10769" width="14.33203125" style="2" customWidth="1"/>
    <col min="10770" max="10770" width="4" style="2" customWidth="1"/>
    <col min="10771" max="10771" width="14.33203125" style="2" customWidth="1"/>
    <col min="10772" max="10772" width="4" style="2" customWidth="1"/>
    <col min="10773" max="11024" width="7.6640625" style="2" customWidth="1"/>
    <col min="11025" max="11025" width="14.33203125" style="2" customWidth="1"/>
    <col min="11026" max="11026" width="4" style="2" customWidth="1"/>
    <col min="11027" max="11027" width="14.33203125" style="2" customWidth="1"/>
    <col min="11028" max="11028" width="4" style="2" customWidth="1"/>
    <col min="11029" max="11280" width="7.6640625" style="2" customWidth="1"/>
    <col min="11281" max="11281" width="14.33203125" style="2" customWidth="1"/>
    <col min="11282" max="11282" width="4" style="2" customWidth="1"/>
    <col min="11283" max="11283" width="14.33203125" style="2" customWidth="1"/>
    <col min="11284" max="11284" width="4" style="2" customWidth="1"/>
    <col min="11285" max="11536" width="7.6640625" style="2" customWidth="1"/>
    <col min="11537" max="11537" width="14.33203125" style="2" customWidth="1"/>
    <col min="11538" max="11538" width="4" style="2" customWidth="1"/>
    <col min="11539" max="11539" width="14.33203125" style="2" customWidth="1"/>
    <col min="11540" max="11540" width="4" style="2" customWidth="1"/>
    <col min="11541" max="11792" width="7.6640625" style="2" customWidth="1"/>
    <col min="11793" max="11793" width="14.33203125" style="2" customWidth="1"/>
    <col min="11794" max="11794" width="4" style="2" customWidth="1"/>
    <col min="11795" max="11795" width="14.33203125" style="2" customWidth="1"/>
    <col min="11796" max="11796" width="4" style="2" customWidth="1"/>
    <col min="11797" max="12048" width="7.6640625" style="2" customWidth="1"/>
    <col min="12049" max="12049" width="14.33203125" style="2" customWidth="1"/>
    <col min="12050" max="12050" width="4" style="2" customWidth="1"/>
    <col min="12051" max="12051" width="14.33203125" style="2" customWidth="1"/>
    <col min="12052" max="12052" width="4" style="2" customWidth="1"/>
    <col min="12053" max="12304" width="7.6640625" style="2" customWidth="1"/>
    <col min="12305" max="12305" width="14.33203125" style="2" customWidth="1"/>
    <col min="12306" max="12306" width="4" style="2" customWidth="1"/>
    <col min="12307" max="12307" width="14.33203125" style="2" customWidth="1"/>
    <col min="12308" max="12308" width="4" style="2" customWidth="1"/>
    <col min="12309" max="12560" width="7.6640625" style="2" customWidth="1"/>
    <col min="12561" max="12561" width="14.33203125" style="2" customWidth="1"/>
    <col min="12562" max="12562" width="4" style="2" customWidth="1"/>
    <col min="12563" max="12563" width="14.33203125" style="2" customWidth="1"/>
    <col min="12564" max="12564" width="4" style="2" customWidth="1"/>
    <col min="12565" max="12816" width="7.6640625" style="2" customWidth="1"/>
    <col min="12817" max="12817" width="14.33203125" style="2" customWidth="1"/>
    <col min="12818" max="12818" width="4" style="2" customWidth="1"/>
    <col min="12819" max="12819" width="14.33203125" style="2" customWidth="1"/>
    <col min="12820" max="12820" width="4" style="2" customWidth="1"/>
    <col min="12821" max="13072" width="7.6640625" style="2" customWidth="1"/>
    <col min="13073" max="13073" width="14.33203125" style="2" customWidth="1"/>
    <col min="13074" max="13074" width="4" style="2" customWidth="1"/>
    <col min="13075" max="13075" width="14.33203125" style="2" customWidth="1"/>
    <col min="13076" max="13076" width="4" style="2" customWidth="1"/>
    <col min="13077" max="13328" width="7.6640625" style="2" customWidth="1"/>
    <col min="13329" max="13329" width="14.33203125" style="2" customWidth="1"/>
    <col min="13330" max="13330" width="4" style="2" customWidth="1"/>
    <col min="13331" max="13331" width="14.33203125" style="2" customWidth="1"/>
    <col min="13332" max="13332" width="4" style="2" customWidth="1"/>
    <col min="13333" max="13584" width="7.6640625" style="2" customWidth="1"/>
    <col min="13585" max="13585" width="14.33203125" style="2" customWidth="1"/>
    <col min="13586" max="13586" width="4" style="2" customWidth="1"/>
    <col min="13587" max="13587" width="14.33203125" style="2" customWidth="1"/>
    <col min="13588" max="13588" width="4" style="2" customWidth="1"/>
    <col min="13589" max="13840" width="7.6640625" style="2" customWidth="1"/>
    <col min="13841" max="13841" width="14.33203125" style="2" customWidth="1"/>
    <col min="13842" max="13842" width="4" style="2" customWidth="1"/>
    <col min="13843" max="13843" width="14.33203125" style="2" customWidth="1"/>
    <col min="13844" max="13844" width="4" style="2" customWidth="1"/>
    <col min="13845" max="14096" width="7.6640625" style="2" customWidth="1"/>
    <col min="14097" max="14097" width="14.33203125" style="2" customWidth="1"/>
    <col min="14098" max="14098" width="4" style="2" customWidth="1"/>
    <col min="14099" max="14099" width="14.33203125" style="2" customWidth="1"/>
    <col min="14100" max="14100" width="4" style="2" customWidth="1"/>
    <col min="14101" max="14352" width="7.6640625" style="2" customWidth="1"/>
    <col min="14353" max="14353" width="14.33203125" style="2" customWidth="1"/>
    <col min="14354" max="14354" width="4" style="2" customWidth="1"/>
    <col min="14355" max="14355" width="14.33203125" style="2" customWidth="1"/>
    <col min="14356" max="14356" width="4" style="2" customWidth="1"/>
    <col min="14357" max="14608" width="7.6640625" style="2" customWidth="1"/>
    <col min="14609" max="14609" width="14.33203125" style="2" customWidth="1"/>
    <col min="14610" max="14610" width="4" style="2" customWidth="1"/>
    <col min="14611" max="14611" width="14.33203125" style="2" customWidth="1"/>
    <col min="14612" max="14612" width="4" style="2" customWidth="1"/>
    <col min="14613" max="14864" width="7.6640625" style="2" customWidth="1"/>
    <col min="14865" max="14865" width="14.33203125" style="2" customWidth="1"/>
    <col min="14866" max="14866" width="4" style="2" customWidth="1"/>
    <col min="14867" max="14867" width="14.33203125" style="2" customWidth="1"/>
    <col min="14868" max="14868" width="4" style="2" customWidth="1"/>
    <col min="14869" max="15120" width="7.6640625" style="2" customWidth="1"/>
    <col min="15121" max="15121" width="14.33203125" style="2" customWidth="1"/>
    <col min="15122" max="15122" width="4" style="2" customWidth="1"/>
    <col min="15123" max="15123" width="14.33203125" style="2" customWidth="1"/>
    <col min="15124" max="15124" width="4" style="2" customWidth="1"/>
    <col min="15125" max="15376" width="7.6640625" style="2" customWidth="1"/>
    <col min="15377" max="15377" width="14.33203125" style="2" customWidth="1"/>
    <col min="15378" max="15378" width="4" style="2" customWidth="1"/>
    <col min="15379" max="15379" width="14.33203125" style="2" customWidth="1"/>
    <col min="15380" max="15380" width="4" style="2" customWidth="1"/>
    <col min="15381" max="15632" width="7.6640625" style="2" customWidth="1"/>
    <col min="15633" max="15633" width="14.33203125" style="2" customWidth="1"/>
    <col min="15634" max="15634" width="4" style="2" customWidth="1"/>
    <col min="15635" max="15635" width="14.33203125" style="2" customWidth="1"/>
    <col min="15636" max="15636" width="4" style="2" customWidth="1"/>
    <col min="15637" max="15888" width="7.6640625" style="2" customWidth="1"/>
    <col min="15889" max="15889" width="14.33203125" style="2" customWidth="1"/>
    <col min="15890" max="15890" width="4" style="2" customWidth="1"/>
    <col min="15891" max="15891" width="14.33203125" style="2" customWidth="1"/>
    <col min="15892" max="15892" width="4" style="2" customWidth="1"/>
    <col min="15893" max="16144" width="7.6640625" style="2" customWidth="1"/>
    <col min="16145" max="16145" width="14.33203125" style="2" customWidth="1"/>
    <col min="16146" max="16146" width="4" style="2" customWidth="1"/>
    <col min="16147" max="16147" width="14.33203125" style="2" customWidth="1"/>
    <col min="16148" max="16148" width="4" style="2" customWidth="1"/>
    <col min="16149" max="16384" width="7.6640625" style="2" customWidth="1"/>
  </cols>
  <sheetData>
    <row r="1" spans="1:32" ht="15" customHeight="1" x14ac:dyDescent="0.3">
      <c r="A1" s="86"/>
      <c r="B1" s="86"/>
      <c r="C1" s="86"/>
      <c r="D1" s="86"/>
      <c r="E1" s="1"/>
      <c r="F1" s="1"/>
      <c r="G1" s="1"/>
      <c r="H1" s="1"/>
      <c r="I1" s="516"/>
      <c r="J1" s="516"/>
      <c r="K1" s="516"/>
      <c r="L1" s="516"/>
      <c r="M1" s="516"/>
      <c r="N1" s="281"/>
      <c r="O1" s="516"/>
      <c r="P1" s="1"/>
      <c r="Q1" s="1"/>
      <c r="R1" s="1"/>
      <c r="S1" s="1"/>
      <c r="T1" s="1"/>
      <c r="U1" s="1"/>
      <c r="V1" s="1"/>
    </row>
    <row r="2" spans="1:32" ht="15" customHeight="1" x14ac:dyDescent="0.3">
      <c r="A2" s="589" t="s">
        <v>174</v>
      </c>
      <c r="B2" s="155"/>
      <c r="C2" s="10"/>
      <c r="D2" s="159"/>
      <c r="E2" s="3"/>
      <c r="F2" s="3"/>
      <c r="G2" s="3"/>
      <c r="H2" s="3"/>
      <c r="I2" s="693"/>
      <c r="J2" s="693"/>
      <c r="K2" s="693"/>
      <c r="L2" s="693"/>
      <c r="M2" s="693"/>
      <c r="N2" s="278"/>
      <c r="O2" s="693"/>
      <c r="P2" s="275"/>
      <c r="Q2" s="3"/>
      <c r="R2" s="3"/>
      <c r="S2" s="3"/>
      <c r="T2" s="3"/>
      <c r="U2" s="3"/>
      <c r="V2" s="3"/>
    </row>
    <row r="3" spans="1:32" ht="15" customHeight="1" x14ac:dyDescent="0.3">
      <c r="A3" s="615" t="s">
        <v>446</v>
      </c>
      <c r="B3" s="155"/>
      <c r="C3" s="10"/>
      <c r="D3" s="159"/>
      <c r="E3" s="3"/>
      <c r="F3" s="3"/>
      <c r="G3" s="3"/>
      <c r="H3" s="3"/>
      <c r="I3" s="3"/>
      <c r="J3" s="693"/>
      <c r="K3" s="693"/>
      <c r="L3" s="693"/>
      <c r="M3" s="693"/>
      <c r="N3" s="278"/>
      <c r="O3" s="693"/>
      <c r="P3" s="279"/>
      <c r="Q3" s="22"/>
      <c r="R3" s="3"/>
      <c r="S3" s="3"/>
      <c r="T3" s="3"/>
      <c r="U3" s="3"/>
      <c r="V3" s="3"/>
    </row>
    <row r="4" spans="1:32" ht="15" customHeight="1" x14ac:dyDescent="0.3">
      <c r="A4" s="594" t="str">
        <f>Overview!$B$7</f>
        <v>Grove Park Drive</v>
      </c>
      <c r="B4" s="155"/>
      <c r="C4" s="10"/>
      <c r="D4" s="159"/>
      <c r="E4" s="3"/>
      <c r="F4" s="3"/>
      <c r="G4" s="3"/>
      <c r="H4" s="3"/>
      <c r="I4" s="3"/>
      <c r="J4" s="693"/>
      <c r="K4" s="693"/>
      <c r="L4" s="693"/>
      <c r="M4" s="693"/>
      <c r="N4" s="278"/>
      <c r="O4" s="693"/>
      <c r="P4" s="279"/>
      <c r="Q4" s="22"/>
      <c r="R4" s="3"/>
      <c r="S4" s="3"/>
      <c r="T4" s="3"/>
      <c r="U4" s="3"/>
      <c r="V4" s="3"/>
    </row>
    <row r="5" spans="1:32" ht="15" customHeight="1" x14ac:dyDescent="0.3">
      <c r="A5" s="12"/>
      <c r="B5" s="687"/>
      <c r="C5" s="3"/>
      <c r="D5" s="3"/>
      <c r="E5" s="3"/>
      <c r="F5" s="3"/>
      <c r="G5" s="3"/>
      <c r="H5" s="3"/>
      <c r="I5" s="809"/>
      <c r="J5" s="693"/>
      <c r="K5" s="693"/>
      <c r="L5" s="693"/>
      <c r="M5" s="693"/>
      <c r="N5" s="278"/>
      <c r="O5" s="693"/>
      <c r="P5" s="279"/>
      <c r="Q5" s="279"/>
      <c r="R5" s="3"/>
      <c r="S5" s="3"/>
      <c r="T5" s="276"/>
      <c r="U5" s="3"/>
      <c r="V5" s="3"/>
    </row>
    <row r="6" spans="1:32" ht="15" customHeight="1" x14ac:dyDescent="0.3">
      <c r="A6" s="885" t="s">
        <v>145</v>
      </c>
      <c r="B6" s="156"/>
      <c r="C6" s="19"/>
      <c r="D6" s="19"/>
      <c r="E6" s="19"/>
      <c r="F6" s="19"/>
      <c r="G6" s="19"/>
      <c r="H6" s="19"/>
      <c r="I6" s="154"/>
      <c r="J6" s="154"/>
      <c r="K6" s="154"/>
      <c r="L6" s="154"/>
      <c r="M6" s="154"/>
      <c r="N6" s="279"/>
      <c r="O6" s="154"/>
      <c r="P6" s="279"/>
      <c r="Q6" s="279"/>
      <c r="R6" s="19"/>
      <c r="S6" s="19"/>
      <c r="T6" s="279"/>
      <c r="U6" s="280"/>
      <c r="V6" s="19"/>
    </row>
    <row r="7" spans="1:32" s="151" customFormat="1" ht="53.4" thickBot="1" x14ac:dyDescent="0.35">
      <c r="A7" s="557" t="s">
        <v>162</v>
      </c>
      <c r="B7" s="557" t="s">
        <v>146</v>
      </c>
      <c r="C7" s="557" t="s">
        <v>20</v>
      </c>
      <c r="D7" s="557" t="s">
        <v>147</v>
      </c>
      <c r="E7" s="557" t="s">
        <v>148</v>
      </c>
      <c r="F7" s="557" t="s">
        <v>149</v>
      </c>
      <c r="G7" s="557" t="s">
        <v>21</v>
      </c>
      <c r="H7" s="157" t="s">
        <v>25</v>
      </c>
      <c r="I7" s="557" t="s">
        <v>13</v>
      </c>
      <c r="J7" s="557" t="s">
        <v>150</v>
      </c>
      <c r="K7" s="557" t="s">
        <v>14</v>
      </c>
      <c r="L7" s="557" t="s">
        <v>151</v>
      </c>
      <c r="M7" s="557" t="s">
        <v>152</v>
      </c>
      <c r="N7" s="188" t="s">
        <v>153</v>
      </c>
      <c r="O7" s="557" t="s">
        <v>154</v>
      </c>
      <c r="P7" s="557" t="s">
        <v>155</v>
      </c>
      <c r="Q7" s="557" t="s">
        <v>156</v>
      </c>
      <c r="R7" s="557" t="s">
        <v>157</v>
      </c>
      <c r="S7" s="188" t="s">
        <v>158</v>
      </c>
      <c r="T7" s="557" t="s">
        <v>159</v>
      </c>
      <c r="U7" s="557" t="s">
        <v>160</v>
      </c>
      <c r="V7" s="557" t="s">
        <v>161</v>
      </c>
      <c r="X7" s="2"/>
      <c r="Y7" s="2"/>
      <c r="Z7" s="2"/>
      <c r="AA7" s="2"/>
      <c r="AB7" s="2"/>
      <c r="AC7" s="2"/>
      <c r="AD7" s="2"/>
      <c r="AE7" s="2"/>
      <c r="AF7" s="2"/>
    </row>
    <row r="8" spans="1:32" ht="15" customHeight="1" x14ac:dyDescent="0.3">
      <c r="A8" s="201">
        <f>'Scheme Entry - Baseline'!T49</f>
        <v>0.1111111111111111</v>
      </c>
      <c r="B8" s="816">
        <v>1</v>
      </c>
      <c r="C8" s="817" t="str">
        <f>'Scheme Entry - Baseline'!C49</f>
        <v>Start</v>
      </c>
      <c r="D8" s="817" t="str">
        <f>'Scheme Entry - Baseline'!G49</f>
        <v>to jct 1</v>
      </c>
      <c r="E8" s="816" t="s">
        <v>74</v>
      </c>
      <c r="F8" s="816" t="s">
        <v>74</v>
      </c>
      <c r="G8" s="816" t="s">
        <v>74</v>
      </c>
      <c r="H8" s="816" t="s">
        <v>74</v>
      </c>
      <c r="I8" s="818">
        <f>'Scheme Entry - Baseline'!I19</f>
        <v>2019</v>
      </c>
      <c r="J8" s="813">
        <f>'Scheme Entry - Baseline'!L19</f>
        <v>0.67683936202868722</v>
      </c>
      <c r="K8" s="816">
        <f>'Scheme Entry - Baseline'!I21</f>
        <v>2021</v>
      </c>
      <c r="L8" s="813">
        <f>'Scheme Entry - Baseline'!L21</f>
        <v>0.61391325354075932</v>
      </c>
      <c r="M8" s="819">
        <f>('Scheme Entry - Baseline'!$Y$37*'Scheme Entry - Baseline'!$I$34)</f>
        <v>0</v>
      </c>
      <c r="N8" s="820">
        <f>M8*L8*'Scheme Entry - Baseline'!I36*'Scheme Entry - Baseline'!I9</f>
        <v>0</v>
      </c>
      <c r="O8" s="816">
        <f>'Scheme Entry - Baseline'!I17</f>
        <v>2016</v>
      </c>
      <c r="P8" s="820">
        <f>('Capital Expenditure'!J28)*('Scheme Entry - Baseline'!$O$15/'Scheme Entry - Baseline'!$O$19)*L8*A8</f>
        <v>629422.89686123806</v>
      </c>
      <c r="Q8" s="820">
        <f>(('Operational Expenditure'!$I$13*('Scheme Entry - Baseline'!$O$15/'Scheme Entry - Baseline'!$O$21)*L8)*'Scheme Entry - Baseline'!$I$7*A8)</f>
        <v>312831.00745286519</v>
      </c>
      <c r="R8" s="821">
        <f>P8+Q8</f>
        <v>942253.9043141033</v>
      </c>
      <c r="S8" s="820">
        <f>N8-R8</f>
        <v>-942253.9043141033</v>
      </c>
      <c r="T8" s="822">
        <f>N8/R8</f>
        <v>0</v>
      </c>
      <c r="U8" s="544">
        <f>(M8*'Scheme Entry - Baseline'!$I$36)/R8</f>
        <v>0</v>
      </c>
      <c r="V8" s="823">
        <f>M8*'Scheme Entry - Baseline'!$I$11</f>
        <v>0</v>
      </c>
    </row>
    <row r="9" spans="1:32" ht="15" customHeight="1" x14ac:dyDescent="0.3">
      <c r="A9" s="724">
        <f>'Scheme Entry - Baseline'!T50</f>
        <v>0.22222222222222221</v>
      </c>
      <c r="B9" s="824">
        <v>2</v>
      </c>
      <c r="C9" s="817" t="str">
        <f>'Scheme Entry - Baseline'!C50</f>
        <v>from jct 1</v>
      </c>
      <c r="D9" s="817" t="str">
        <f>'Scheme Entry - Baseline'!G50</f>
        <v>to jct 2</v>
      </c>
      <c r="E9" s="816" t="s">
        <v>74</v>
      </c>
      <c r="F9" s="816" t="s">
        <v>74</v>
      </c>
      <c r="G9" s="816" t="s">
        <v>74</v>
      </c>
      <c r="H9" s="816" t="s">
        <v>74</v>
      </c>
      <c r="I9" s="818">
        <f>'Scheme Entry - Baseline'!I19</f>
        <v>2019</v>
      </c>
      <c r="J9" s="814">
        <f>'Scheme Entry - Baseline'!L19</f>
        <v>0.67683936202868722</v>
      </c>
      <c r="K9" s="824">
        <f>'Scheme Entry - Baseline'!I21</f>
        <v>2021</v>
      </c>
      <c r="L9" s="814">
        <f>'Scheme Entry - Baseline'!L21</f>
        <v>0.61391325354075932</v>
      </c>
      <c r="M9" s="819">
        <f>('Scheme Entry - Baseline'!$Y$38*'Scheme Entry - Baseline'!$I$34)</f>
        <v>0</v>
      </c>
      <c r="N9" s="820">
        <f>M9*L9*'Scheme Entry - Baseline'!I36*'Scheme Entry - Baseline'!I9</f>
        <v>0</v>
      </c>
      <c r="O9" s="824">
        <f>'Scheme Entry - Baseline'!I17</f>
        <v>2016</v>
      </c>
      <c r="P9" s="820">
        <f>('Capital Expenditure'!J28)*('Scheme Entry - Baseline'!$O$15/'Scheme Entry - Baseline'!$O$19)*L9*A9</f>
        <v>1258845.7937224761</v>
      </c>
      <c r="Q9" s="820">
        <f>(('Operational Expenditure'!$I$13*('Scheme Entry - Baseline'!$O$15/'Scheme Entry - Baseline'!$O$21)*L9)*'Scheme Entry - Baseline'!$I$7*A9)</f>
        <v>625662.01490573038</v>
      </c>
      <c r="R9" s="821">
        <f t="shared" ref="R9:R11" si="0">P9+Q9</f>
        <v>1884507.8086282066</v>
      </c>
      <c r="S9" s="820">
        <f t="shared" ref="S9:S11" si="1">N9-R9</f>
        <v>-1884507.8086282066</v>
      </c>
      <c r="T9" s="822">
        <f>N9/R9</f>
        <v>0</v>
      </c>
      <c r="U9" s="544">
        <f>(M9*'Scheme Entry - Baseline'!$I$36)/R9</f>
        <v>0</v>
      </c>
      <c r="V9" s="823">
        <f>M9*'Scheme Entry - Baseline'!$I$11</f>
        <v>0</v>
      </c>
    </row>
    <row r="10" spans="1:32" ht="15" customHeight="1" x14ac:dyDescent="0.3">
      <c r="A10" s="724">
        <f>'Scheme Entry - Baseline'!T51</f>
        <v>0.22222222222222221</v>
      </c>
      <c r="B10" s="824">
        <v>3</v>
      </c>
      <c r="C10" s="817" t="str">
        <f>'Scheme Entry - Baseline'!C51</f>
        <v>from jct 2</v>
      </c>
      <c r="D10" s="817" t="str">
        <f>'Scheme Entry - Baseline'!G51</f>
        <v>to jct 3</v>
      </c>
      <c r="E10" s="816" t="s">
        <v>74</v>
      </c>
      <c r="F10" s="816" t="s">
        <v>74</v>
      </c>
      <c r="G10" s="816" t="s">
        <v>74</v>
      </c>
      <c r="H10" s="816" t="s">
        <v>74</v>
      </c>
      <c r="I10" s="825">
        <f>'Scheme Entry - Baseline'!I19</f>
        <v>2019</v>
      </c>
      <c r="J10" s="814">
        <f>'Scheme Entry - Baseline'!L19</f>
        <v>0.67683936202868722</v>
      </c>
      <c r="K10" s="824">
        <f>'Scheme Entry - Baseline'!I21</f>
        <v>2021</v>
      </c>
      <c r="L10" s="814">
        <f>'Scheme Entry - Baseline'!L21</f>
        <v>0.61391325354075932</v>
      </c>
      <c r="M10" s="819">
        <f>('Scheme Entry - Baseline'!$Y$39*'Scheme Entry - Baseline'!$I$34)</f>
        <v>0</v>
      </c>
      <c r="N10" s="820">
        <f>M10*L10*'Scheme Entry - Baseline'!I36*'Scheme Entry - Baseline'!I9</f>
        <v>0</v>
      </c>
      <c r="O10" s="824">
        <f>'Scheme Entry - Baseline'!I17</f>
        <v>2016</v>
      </c>
      <c r="P10" s="820">
        <f>('Capital Expenditure'!J28)*('Scheme Entry - Baseline'!$O$15/'Scheme Entry - Baseline'!$O$19)*L10*A10</f>
        <v>1258845.7937224761</v>
      </c>
      <c r="Q10" s="820">
        <f>(('Operational Expenditure'!$I$13*('Scheme Entry - Baseline'!$O$15/'Scheme Entry - Baseline'!$O$21)*L10)*'Scheme Entry - Baseline'!$I$7*A10)</f>
        <v>625662.01490573038</v>
      </c>
      <c r="R10" s="821">
        <f t="shared" si="0"/>
        <v>1884507.8086282066</v>
      </c>
      <c r="S10" s="820">
        <f t="shared" si="1"/>
        <v>-1884507.8086282066</v>
      </c>
      <c r="T10" s="822">
        <f t="shared" ref="T10:T11" si="2">N10/R10</f>
        <v>0</v>
      </c>
      <c r="U10" s="544">
        <f>(M10*'Scheme Entry - Baseline'!$I$36)/R10</f>
        <v>0</v>
      </c>
      <c r="V10" s="823">
        <f>M10*'Scheme Entry - Baseline'!$I$11</f>
        <v>0</v>
      </c>
    </row>
    <row r="11" spans="1:32" ht="15" customHeight="1" x14ac:dyDescent="0.3">
      <c r="A11" s="724">
        <f>'Scheme Entry - Baseline'!T52</f>
        <v>0.22222222222222221</v>
      </c>
      <c r="B11" s="824">
        <v>4</v>
      </c>
      <c r="C11" s="817" t="str">
        <f>'Scheme Entry - Baseline'!C52</f>
        <v>from jct 3</v>
      </c>
      <c r="D11" s="817" t="str">
        <f>'Scheme Entry - Baseline'!G52</f>
        <v>to jct 4</v>
      </c>
      <c r="E11" s="816" t="s">
        <v>74</v>
      </c>
      <c r="F11" s="816" t="s">
        <v>74</v>
      </c>
      <c r="G11" s="816" t="s">
        <v>74</v>
      </c>
      <c r="H11" s="816" t="s">
        <v>74</v>
      </c>
      <c r="I11" s="825">
        <f>'Scheme Entry - Baseline'!I19</f>
        <v>2019</v>
      </c>
      <c r="J11" s="814">
        <f>'Scheme Entry - Baseline'!L19</f>
        <v>0.67683936202868722</v>
      </c>
      <c r="K11" s="824">
        <f>'Scheme Entry - Baseline'!I21</f>
        <v>2021</v>
      </c>
      <c r="L11" s="814">
        <f>'Scheme Entry - Baseline'!L21</f>
        <v>0.61391325354075932</v>
      </c>
      <c r="M11" s="819">
        <f>('Scheme Entry - Baseline'!$Y$40*'Scheme Entry - Baseline'!$I$34)</f>
        <v>0</v>
      </c>
      <c r="N11" s="820">
        <f>M11*L11*'Scheme Entry - Baseline'!I36*'Scheme Entry - Baseline'!I9</f>
        <v>0</v>
      </c>
      <c r="O11" s="824">
        <f>'Scheme Entry - Baseline'!I17</f>
        <v>2016</v>
      </c>
      <c r="P11" s="820">
        <f>('Capital Expenditure'!J28)*('Scheme Entry - Baseline'!$O$15/'Scheme Entry - Baseline'!$O$19)*L11*A11</f>
        <v>1258845.7937224761</v>
      </c>
      <c r="Q11" s="820">
        <f>(('Operational Expenditure'!$I$13*('Scheme Entry - Baseline'!$O$15/'Scheme Entry - Baseline'!$O$21)*L11)*'Scheme Entry - Baseline'!$I$7*A11)</f>
        <v>625662.01490573038</v>
      </c>
      <c r="R11" s="821">
        <f t="shared" si="0"/>
        <v>1884507.8086282066</v>
      </c>
      <c r="S11" s="820">
        <f t="shared" si="1"/>
        <v>-1884507.8086282066</v>
      </c>
      <c r="T11" s="822">
        <f t="shared" si="2"/>
        <v>0</v>
      </c>
      <c r="U11" s="544">
        <f>(M11*'Scheme Entry - Baseline'!$I$36)/R11</f>
        <v>0</v>
      </c>
      <c r="V11" s="823">
        <f>M11*'Scheme Entry - Baseline'!$I$11</f>
        <v>0</v>
      </c>
    </row>
    <row r="12" spans="1:32" ht="15" customHeight="1" thickBot="1" x14ac:dyDescent="0.35">
      <c r="A12" s="208">
        <f>'Scheme Entry - Baseline'!T53</f>
        <v>0.22222222222222221</v>
      </c>
      <c r="B12" s="826">
        <v>5</v>
      </c>
      <c r="C12" s="827" t="str">
        <f>'Scheme Entry - Baseline'!C53</f>
        <v>from jct 3</v>
      </c>
      <c r="D12" s="827" t="str">
        <f>'Scheme Entry - Baseline'!G53</f>
        <v>End</v>
      </c>
      <c r="E12" s="826" t="s">
        <v>74</v>
      </c>
      <c r="F12" s="826" t="s">
        <v>74</v>
      </c>
      <c r="G12" s="826" t="s">
        <v>74</v>
      </c>
      <c r="H12" s="826" t="s">
        <v>74</v>
      </c>
      <c r="I12" s="828">
        <f>'Scheme Entry - Baseline'!I19</f>
        <v>2019</v>
      </c>
      <c r="J12" s="815">
        <f>'Scheme Entry - Baseline'!L19</f>
        <v>0.67683936202868722</v>
      </c>
      <c r="K12" s="826">
        <f>'Scheme Entry - Baseline'!I21</f>
        <v>2021</v>
      </c>
      <c r="L12" s="829">
        <f>'Scheme Entry - Baseline'!L21</f>
        <v>0.61391325354075932</v>
      </c>
      <c r="M12" s="830">
        <f>('Scheme Entry - Baseline'!$Y$41*'Scheme Entry - Baseline'!$I$34)</f>
        <v>0</v>
      </c>
      <c r="N12" s="831">
        <f>M12*L12*'Scheme Entry - Baseline'!I36*'Scheme Entry - Baseline'!I9</f>
        <v>0</v>
      </c>
      <c r="O12" s="826">
        <f>'Scheme Entry - Baseline'!I17</f>
        <v>2016</v>
      </c>
      <c r="P12" s="832">
        <f>('Capital Expenditure'!J28)*('Scheme Entry - Baseline'!$O$15/'Scheme Entry - Baseline'!$O$19)*L12*A12</f>
        <v>1258845.7937224761</v>
      </c>
      <c r="Q12" s="832">
        <f>(('Operational Expenditure'!$I$13*('Scheme Entry - Baseline'!$O$15/'Scheme Entry - Baseline'!$O$21)*L12)*'Scheme Entry - Baseline'!$I$7*A12)</f>
        <v>625662.01490573038</v>
      </c>
      <c r="R12" s="833">
        <f>P12+Q12</f>
        <v>1884507.8086282066</v>
      </c>
      <c r="S12" s="832">
        <f>N12-R12</f>
        <v>-1884507.8086282066</v>
      </c>
      <c r="T12" s="834">
        <f>N12/R12</f>
        <v>0</v>
      </c>
      <c r="U12" s="543">
        <f>(M12*'Scheme Entry - Baseline'!$I$36)/R12</f>
        <v>0</v>
      </c>
      <c r="V12" s="835">
        <f>M12*'Scheme Entry - Baseline'!$I$11</f>
        <v>0</v>
      </c>
    </row>
    <row r="13" spans="1:32" ht="15" customHeight="1" x14ac:dyDescent="0.3">
      <c r="A13" s="7"/>
      <c r="B13" s="773"/>
      <c r="C13" s="7"/>
      <c r="D13" s="7"/>
      <c r="E13" s="7"/>
      <c r="F13" s="7"/>
      <c r="G13" s="7"/>
      <c r="H13" s="7"/>
      <c r="I13" s="6"/>
      <c r="J13" s="6"/>
      <c r="K13" s="6"/>
      <c r="L13" s="6"/>
      <c r="M13" s="771"/>
      <c r="N13" s="771"/>
      <c r="O13" s="773"/>
      <c r="P13" s="7"/>
      <c r="Q13" s="7"/>
      <c r="R13" s="7"/>
      <c r="S13" s="7"/>
      <c r="T13" s="7"/>
      <c r="U13" s="7"/>
      <c r="V13" s="7"/>
    </row>
    <row r="14" spans="1:32" ht="15" customHeight="1" x14ac:dyDescent="0.3">
      <c r="A14" s="725"/>
      <c r="B14" s="773"/>
      <c r="C14" s="7"/>
      <c r="D14" s="7"/>
      <c r="E14" s="7"/>
      <c r="F14" s="7"/>
      <c r="G14" s="7"/>
      <c r="H14" s="7"/>
      <c r="I14" s="6"/>
      <c r="J14" s="6"/>
      <c r="K14" s="6"/>
      <c r="L14" s="6"/>
      <c r="M14" s="771"/>
      <c r="N14" s="771"/>
      <c r="O14" s="773"/>
      <c r="P14" s="7"/>
      <c r="Q14" s="7"/>
      <c r="R14" s="7"/>
      <c r="S14" s="7"/>
      <c r="T14" s="7"/>
      <c r="U14" s="7"/>
      <c r="V14" s="7"/>
    </row>
    <row r="15" spans="1:32" ht="46.2" customHeight="1" x14ac:dyDescent="0.25">
      <c r="A15" s="885" t="s">
        <v>179</v>
      </c>
      <c r="B15" s="773"/>
      <c r="C15" s="7"/>
      <c r="D15" s="7"/>
      <c r="E15" s="7"/>
      <c r="F15" s="7"/>
      <c r="G15" s="7"/>
      <c r="H15" s="7"/>
      <c r="I15" s="6"/>
      <c r="J15" s="1175" t="s">
        <v>361</v>
      </c>
      <c r="K15" s="1176"/>
      <c r="L15" s="1176"/>
      <c r="M15" s="1177"/>
      <c r="N15" s="1172"/>
      <c r="O15" s="1173"/>
      <c r="P15" s="1173"/>
      <c r="Q15" s="1173"/>
      <c r="R15" s="1173"/>
      <c r="S15" s="1173"/>
      <c r="T15" s="1173"/>
      <c r="U15" s="1173"/>
      <c r="V15" s="1174"/>
    </row>
    <row r="16" spans="1:32" ht="53.4" thickBot="1" x14ac:dyDescent="0.35">
      <c r="A16" s="557" t="s">
        <v>162</v>
      </c>
      <c r="B16" s="557" t="s">
        <v>146</v>
      </c>
      <c r="C16" s="557" t="s">
        <v>20</v>
      </c>
      <c r="D16" s="557" t="s">
        <v>147</v>
      </c>
      <c r="E16" s="557" t="s">
        <v>148</v>
      </c>
      <c r="F16" s="557" t="s">
        <v>149</v>
      </c>
      <c r="G16" s="557" t="s">
        <v>21</v>
      </c>
      <c r="H16" s="157" t="s">
        <v>25</v>
      </c>
      <c r="I16" s="557" t="s">
        <v>13</v>
      </c>
      <c r="J16" s="557" t="s">
        <v>150</v>
      </c>
      <c r="K16" s="557" t="s">
        <v>14</v>
      </c>
      <c r="L16" s="557" t="s">
        <v>151</v>
      </c>
      <c r="M16" s="557" t="s">
        <v>152</v>
      </c>
      <c r="N16" s="188" t="s">
        <v>153</v>
      </c>
      <c r="O16" s="557" t="s">
        <v>154</v>
      </c>
      <c r="P16" s="557" t="s">
        <v>155</v>
      </c>
      <c r="Q16" s="557" t="s">
        <v>156</v>
      </c>
      <c r="R16" s="557" t="s">
        <v>157</v>
      </c>
      <c r="S16" s="188" t="s">
        <v>158</v>
      </c>
      <c r="T16" s="557" t="s">
        <v>159</v>
      </c>
      <c r="U16" s="557" t="s">
        <v>160</v>
      </c>
      <c r="V16" s="557" t="s">
        <v>161</v>
      </c>
    </row>
    <row r="17" spans="1:22" ht="15" customHeight="1" x14ac:dyDescent="0.3">
      <c r="A17" s="201">
        <f>'Scheme Entry - Baseline'!T49</f>
        <v>0.1111111111111111</v>
      </c>
      <c r="B17" s="816">
        <v>1</v>
      </c>
      <c r="C17" s="817" t="str">
        <f>C8</f>
        <v>Start</v>
      </c>
      <c r="D17" s="817" t="str">
        <f>D8</f>
        <v>to jct 1</v>
      </c>
      <c r="E17" s="816" t="str">
        <f t="shared" ref="E17:J21" si="3">E8</f>
        <v>-</v>
      </c>
      <c r="F17" s="816" t="str">
        <f t="shared" si="3"/>
        <v>-</v>
      </c>
      <c r="G17" s="816" t="str">
        <f t="shared" si="3"/>
        <v>-</v>
      </c>
      <c r="H17" s="816" t="str">
        <f t="shared" si="3"/>
        <v>-</v>
      </c>
      <c r="I17" s="818">
        <f t="shared" si="3"/>
        <v>2019</v>
      </c>
      <c r="J17" s="813">
        <f t="shared" si="3"/>
        <v>0.67683936202868722</v>
      </c>
      <c r="K17" s="816">
        <f>'Scheme Entry - Baseline'!$I$21</f>
        <v>2021</v>
      </c>
      <c r="L17" s="813">
        <v>0.63900000000000001</v>
      </c>
      <c r="M17" s="819">
        <f>('Scheme Entry - Baseline'!$Y$37*'Scheme Entry - Baseline'!$I$34)</f>
        <v>0</v>
      </c>
      <c r="N17" s="820">
        <f>M17*L17*'Scheme Entry - Baseline'!I36*'Scheme Entry - Baseline'!I9</f>
        <v>0</v>
      </c>
      <c r="O17" s="816">
        <f>O8</f>
        <v>2016</v>
      </c>
      <c r="P17" s="820">
        <f>('Sensitivity 1'!$V$26)*('Scheme Entry - Baseline'!$O$15/'Scheme Entry - Baseline'!$O$19)*L17*A17</f>
        <v>483742.581018586</v>
      </c>
      <c r="Q17" s="820">
        <f>(('Sensitivity 1'!V31*('Scheme Entry - Baseline'!$O$15/'Scheme Entry - Baseline'!$O$21)*L17)*'Scheme Entry - Baseline'!$I$7*A17)</f>
        <v>180950.38889207595</v>
      </c>
      <c r="R17" s="821">
        <f>P17+Q17</f>
        <v>664692.96991066192</v>
      </c>
      <c r="S17" s="820">
        <f>N17-R17</f>
        <v>-664692.96991066192</v>
      </c>
      <c r="T17" s="822">
        <f>N17/R17</f>
        <v>0</v>
      </c>
      <c r="U17" s="544">
        <f>(M17*'Scheme Entry - Baseline'!$I$36)/R17</f>
        <v>0</v>
      </c>
      <c r="V17" s="823">
        <f>M17*'Scheme Entry - Baseline'!$I$11</f>
        <v>0</v>
      </c>
    </row>
    <row r="18" spans="1:22" ht="15" customHeight="1" x14ac:dyDescent="0.3">
      <c r="A18" s="724">
        <f>'Scheme Entry - Baseline'!T50</f>
        <v>0.22222222222222221</v>
      </c>
      <c r="B18" s="824">
        <v>2</v>
      </c>
      <c r="C18" s="817" t="str">
        <f t="shared" ref="C18:D21" si="4">C9</f>
        <v>from jct 1</v>
      </c>
      <c r="D18" s="817" t="str">
        <f t="shared" si="4"/>
        <v>to jct 2</v>
      </c>
      <c r="E18" s="816" t="str">
        <f t="shared" si="3"/>
        <v>-</v>
      </c>
      <c r="F18" s="816" t="str">
        <f t="shared" si="3"/>
        <v>-</v>
      </c>
      <c r="G18" s="824" t="str">
        <f t="shared" si="3"/>
        <v>-</v>
      </c>
      <c r="H18" s="824" t="str">
        <f t="shared" si="3"/>
        <v>-</v>
      </c>
      <c r="I18" s="825">
        <f t="shared" si="3"/>
        <v>2019</v>
      </c>
      <c r="J18" s="814">
        <f t="shared" si="3"/>
        <v>0.67683936202868722</v>
      </c>
      <c r="K18" s="816">
        <f>'Scheme Entry - Baseline'!$I$21</f>
        <v>2021</v>
      </c>
      <c r="L18" s="814">
        <v>0.63900000000000001</v>
      </c>
      <c r="M18" s="819">
        <f>('Scheme Entry - Baseline'!$Y$38*'Scheme Entry - Baseline'!$I$34)</f>
        <v>0</v>
      </c>
      <c r="N18" s="820">
        <f>M18*L18*'Scheme Entry - Baseline'!I36*'Scheme Entry - Baseline'!I9</f>
        <v>0</v>
      </c>
      <c r="O18" s="824">
        <f>O9</f>
        <v>2016</v>
      </c>
      <c r="P18" s="820">
        <f>('Sensitivity 1'!$V$26)*('Scheme Entry - Baseline'!$O$15/'Scheme Entry - Baseline'!$O$19)*L18*A18</f>
        <v>967485.16203717201</v>
      </c>
      <c r="Q18" s="820">
        <f>(('Sensitivity 1'!V31*('Scheme Entry - Baseline'!$O$15/'Scheme Entry - Baseline'!$O$21)*L18)*'Scheme Entry - Baseline'!$I$7*A18)</f>
        <v>361900.7777841519</v>
      </c>
      <c r="R18" s="836">
        <f>P18+Q18</f>
        <v>1329385.9398213238</v>
      </c>
      <c r="S18" s="820">
        <f t="shared" ref="S18:S21" si="5">N18-R18</f>
        <v>-1329385.9398213238</v>
      </c>
      <c r="T18" s="822">
        <f t="shared" ref="T18:T21" si="6">N18/R18</f>
        <v>0</v>
      </c>
      <c r="U18" s="544">
        <f>(M18*'Scheme Entry - Baseline'!$I$36)/R18</f>
        <v>0</v>
      </c>
      <c r="V18" s="823">
        <f>M18*'Scheme Entry - Baseline'!$I$11</f>
        <v>0</v>
      </c>
    </row>
    <row r="19" spans="1:22" ht="15" customHeight="1" x14ac:dyDescent="0.3">
      <c r="A19" s="724">
        <f>'Scheme Entry - Baseline'!T51</f>
        <v>0.22222222222222221</v>
      </c>
      <c r="B19" s="824">
        <v>3</v>
      </c>
      <c r="C19" s="817" t="str">
        <f t="shared" si="4"/>
        <v>from jct 2</v>
      </c>
      <c r="D19" s="817" t="str">
        <f t="shared" si="4"/>
        <v>to jct 3</v>
      </c>
      <c r="E19" s="816" t="str">
        <f t="shared" si="3"/>
        <v>-</v>
      </c>
      <c r="F19" s="816" t="str">
        <f t="shared" si="3"/>
        <v>-</v>
      </c>
      <c r="G19" s="824" t="str">
        <f t="shared" si="3"/>
        <v>-</v>
      </c>
      <c r="H19" s="824" t="str">
        <f t="shared" si="3"/>
        <v>-</v>
      </c>
      <c r="I19" s="825">
        <f t="shared" si="3"/>
        <v>2019</v>
      </c>
      <c r="J19" s="814">
        <f t="shared" si="3"/>
        <v>0.67683936202868722</v>
      </c>
      <c r="K19" s="816">
        <f>'Scheme Entry - Baseline'!$I$21</f>
        <v>2021</v>
      </c>
      <c r="L19" s="814">
        <v>0.63900000000000001</v>
      </c>
      <c r="M19" s="819">
        <f>('Scheme Entry - Baseline'!$Y$39*'Scheme Entry - Baseline'!$I$34)</f>
        <v>0</v>
      </c>
      <c r="N19" s="820">
        <f>M19*L19*'Scheme Entry - Baseline'!I36*'Scheme Entry - Baseline'!I9</f>
        <v>0</v>
      </c>
      <c r="O19" s="824">
        <f>O10</f>
        <v>2016</v>
      </c>
      <c r="P19" s="820">
        <f>('Sensitivity 1'!$V$26)*('Scheme Entry - Baseline'!$O$15/'Scheme Entry - Baseline'!$O$19)*L19*A19</f>
        <v>967485.16203717201</v>
      </c>
      <c r="Q19" s="820">
        <f>(('Sensitivity 1'!V31*('Scheme Entry - Baseline'!$O$15/'Scheme Entry - Baseline'!$O$21)*L19)*'Scheme Entry - Baseline'!$I$7*A19)</f>
        <v>361900.7777841519</v>
      </c>
      <c r="R19" s="836">
        <f>P19+Q19</f>
        <v>1329385.9398213238</v>
      </c>
      <c r="S19" s="820">
        <f t="shared" si="5"/>
        <v>-1329385.9398213238</v>
      </c>
      <c r="T19" s="822">
        <f t="shared" si="6"/>
        <v>0</v>
      </c>
      <c r="U19" s="544">
        <f>(M19*'Scheme Entry - Baseline'!$I$36)/R19</f>
        <v>0</v>
      </c>
      <c r="V19" s="823">
        <f>M19*'Scheme Entry - Baseline'!$I$11</f>
        <v>0</v>
      </c>
    </row>
    <row r="20" spans="1:22" ht="15" customHeight="1" x14ac:dyDescent="0.3">
      <c r="A20" s="724">
        <f>'Scheme Entry - Baseline'!T52</f>
        <v>0.22222222222222221</v>
      </c>
      <c r="B20" s="824">
        <v>4</v>
      </c>
      <c r="C20" s="817" t="str">
        <f t="shared" si="4"/>
        <v>from jct 3</v>
      </c>
      <c r="D20" s="817" t="str">
        <f t="shared" si="4"/>
        <v>to jct 4</v>
      </c>
      <c r="E20" s="816" t="str">
        <f t="shared" si="3"/>
        <v>-</v>
      </c>
      <c r="F20" s="816" t="str">
        <f t="shared" si="3"/>
        <v>-</v>
      </c>
      <c r="G20" s="824" t="str">
        <f t="shared" si="3"/>
        <v>-</v>
      </c>
      <c r="H20" s="824" t="str">
        <f t="shared" si="3"/>
        <v>-</v>
      </c>
      <c r="I20" s="825">
        <f t="shared" si="3"/>
        <v>2019</v>
      </c>
      <c r="J20" s="814">
        <f t="shared" si="3"/>
        <v>0.67683936202868722</v>
      </c>
      <c r="K20" s="816">
        <f>'Scheme Entry - Baseline'!$I$21</f>
        <v>2021</v>
      </c>
      <c r="L20" s="814">
        <v>0.63900000000000001</v>
      </c>
      <c r="M20" s="819">
        <f>('Scheme Entry - Baseline'!$Y$40*'Scheme Entry - Baseline'!$I$34)</f>
        <v>0</v>
      </c>
      <c r="N20" s="820">
        <f>M20*L20*'Scheme Entry - Baseline'!I36*'Scheme Entry - Baseline'!I9</f>
        <v>0</v>
      </c>
      <c r="O20" s="824">
        <f>O11</f>
        <v>2016</v>
      </c>
      <c r="P20" s="820">
        <f>('Sensitivity 1'!$V$26)*('Scheme Entry - Baseline'!$O$15/'Scheme Entry - Baseline'!$O$19)*L20*A20</f>
        <v>967485.16203717201</v>
      </c>
      <c r="Q20" s="820">
        <f>(('Sensitivity 1'!V31*('Scheme Entry - Baseline'!$O$15/'Scheme Entry - Baseline'!$O$21)*L20)*'Scheme Entry - Baseline'!$I$7*A20)</f>
        <v>361900.7777841519</v>
      </c>
      <c r="R20" s="836">
        <f>P20+Q20</f>
        <v>1329385.9398213238</v>
      </c>
      <c r="S20" s="820">
        <f t="shared" si="5"/>
        <v>-1329385.9398213238</v>
      </c>
      <c r="T20" s="822">
        <f t="shared" si="6"/>
        <v>0</v>
      </c>
      <c r="U20" s="544">
        <f>(M20*'Scheme Entry - Baseline'!$I$36)/R20</f>
        <v>0</v>
      </c>
      <c r="V20" s="823">
        <f>M20*'Scheme Entry - Baseline'!$I$11</f>
        <v>0</v>
      </c>
    </row>
    <row r="21" spans="1:22" ht="15" customHeight="1" thickBot="1" x14ac:dyDescent="0.35">
      <c r="A21" s="208">
        <f>'Scheme Entry - Baseline'!T53</f>
        <v>0.22222222222222221</v>
      </c>
      <c r="B21" s="826">
        <v>5</v>
      </c>
      <c r="C21" s="827" t="str">
        <f t="shared" si="4"/>
        <v>from jct 3</v>
      </c>
      <c r="D21" s="827" t="str">
        <f t="shared" si="4"/>
        <v>End</v>
      </c>
      <c r="E21" s="826" t="str">
        <f>E12</f>
        <v>-</v>
      </c>
      <c r="F21" s="826" t="str">
        <f>F12</f>
        <v>-</v>
      </c>
      <c r="G21" s="826" t="str">
        <f t="shared" si="3"/>
        <v>-</v>
      </c>
      <c r="H21" s="826" t="str">
        <f t="shared" si="3"/>
        <v>-</v>
      </c>
      <c r="I21" s="828">
        <f t="shared" si="3"/>
        <v>2019</v>
      </c>
      <c r="J21" s="815">
        <f t="shared" si="3"/>
        <v>0.67683936202868722</v>
      </c>
      <c r="K21" s="826">
        <f>'Scheme Entry - Baseline'!$I$21</f>
        <v>2021</v>
      </c>
      <c r="L21" s="815">
        <v>0.63900000000000001</v>
      </c>
      <c r="M21" s="830">
        <f>('Scheme Entry - Baseline'!$Y$41*'Scheme Entry - Baseline'!$I$34)</f>
        <v>0</v>
      </c>
      <c r="N21" s="837">
        <f>M21*L21*'Scheme Entry - Baseline'!I36*'Scheme Entry - Baseline'!I9</f>
        <v>0</v>
      </c>
      <c r="O21" s="826">
        <f>O12</f>
        <v>2016</v>
      </c>
      <c r="P21" s="832">
        <f>('Sensitivity 1'!$V$26)*('Scheme Entry - Baseline'!$O$15/'Scheme Entry - Baseline'!$O$19)*L21*A21</f>
        <v>967485.16203717201</v>
      </c>
      <c r="Q21" s="832">
        <f>(('Sensitivity 1'!V31*('Scheme Entry - Baseline'!$O$15/'Scheme Entry - Baseline'!$O$21)*L21)*'Scheme Entry - Baseline'!$I$7*A21)</f>
        <v>361900.7777841519</v>
      </c>
      <c r="R21" s="833">
        <f>P21+Q21</f>
        <v>1329385.9398213238</v>
      </c>
      <c r="S21" s="831">
        <f t="shared" si="5"/>
        <v>-1329385.9398213238</v>
      </c>
      <c r="T21" s="834">
        <f t="shared" si="6"/>
        <v>0</v>
      </c>
      <c r="U21" s="543">
        <f>(M21*'Scheme Entry - Baseline'!$I$36)/R21</f>
        <v>0</v>
      </c>
      <c r="V21" s="835">
        <f>M21*'Scheme Entry - Baseline'!$I$11</f>
        <v>0</v>
      </c>
    </row>
    <row r="22" spans="1:22" ht="15" customHeight="1" x14ac:dyDescent="0.3">
      <c r="A22" s="81"/>
      <c r="B22" s="772"/>
      <c r="C22" s="81"/>
      <c r="D22" s="81"/>
      <c r="E22" s="81"/>
      <c r="F22" s="81"/>
      <c r="G22" s="81"/>
      <c r="H22" s="81"/>
      <c r="I22" s="771"/>
      <c r="J22" s="771"/>
      <c r="K22" s="771"/>
      <c r="L22" s="771"/>
      <c r="M22" s="771"/>
      <c r="N22" s="771"/>
      <c r="O22" s="772"/>
      <c r="P22" s="81"/>
      <c r="Q22" s="81"/>
      <c r="R22" s="81"/>
      <c r="S22" s="81"/>
      <c r="T22" s="81"/>
      <c r="U22" s="81"/>
      <c r="V22" s="81"/>
    </row>
    <row r="23" spans="1:22" ht="15" customHeight="1" x14ac:dyDescent="0.3">
      <c r="A23" s="81"/>
      <c r="B23" s="772"/>
      <c r="C23" s="81"/>
      <c r="D23" s="81"/>
      <c r="E23" s="81"/>
      <c r="F23" s="81"/>
      <c r="G23" s="81"/>
      <c r="H23" s="81"/>
      <c r="I23" s="771"/>
      <c r="J23" s="771"/>
      <c r="K23" s="771"/>
      <c r="L23" s="771"/>
      <c r="M23" s="771"/>
      <c r="N23" s="771"/>
      <c r="O23" s="772"/>
      <c r="P23" s="81"/>
      <c r="Q23" s="81"/>
      <c r="R23" s="81"/>
      <c r="S23" s="81"/>
      <c r="T23" s="81"/>
      <c r="U23" s="81"/>
      <c r="V23" s="81"/>
    </row>
    <row r="24" spans="1:22" ht="46.2" customHeight="1" x14ac:dyDescent="0.25">
      <c r="A24" s="885" t="s">
        <v>180</v>
      </c>
      <c r="B24" s="772"/>
      <c r="C24" s="81"/>
      <c r="D24" s="81"/>
      <c r="E24" s="81"/>
      <c r="F24" s="81"/>
      <c r="G24" s="81"/>
      <c r="H24" s="81"/>
      <c r="I24" s="771"/>
      <c r="J24" s="1175" t="s">
        <v>361</v>
      </c>
      <c r="K24" s="1176"/>
      <c r="L24" s="1176"/>
      <c r="M24" s="1177"/>
      <c r="N24" s="1172"/>
      <c r="O24" s="1173"/>
      <c r="P24" s="1173"/>
      <c r="Q24" s="1173"/>
      <c r="R24" s="1173"/>
      <c r="S24" s="1173"/>
      <c r="T24" s="1173"/>
      <c r="U24" s="1173"/>
      <c r="V24" s="1174"/>
    </row>
    <row r="25" spans="1:22" ht="53.4" thickBot="1" x14ac:dyDescent="0.35">
      <c r="A25" s="557" t="s">
        <v>162</v>
      </c>
      <c r="B25" s="557" t="s">
        <v>146</v>
      </c>
      <c r="C25" s="557" t="s">
        <v>20</v>
      </c>
      <c r="D25" s="557" t="s">
        <v>147</v>
      </c>
      <c r="E25" s="557" t="s">
        <v>148</v>
      </c>
      <c r="F25" s="557" t="s">
        <v>149</v>
      </c>
      <c r="G25" s="557" t="s">
        <v>21</v>
      </c>
      <c r="H25" s="157" t="s">
        <v>25</v>
      </c>
      <c r="I25" s="557" t="s">
        <v>13</v>
      </c>
      <c r="J25" s="557" t="s">
        <v>150</v>
      </c>
      <c r="K25" s="557" t="s">
        <v>14</v>
      </c>
      <c r="L25" s="557" t="s">
        <v>151</v>
      </c>
      <c r="M25" s="557" t="s">
        <v>152</v>
      </c>
      <c r="N25" s="188" t="s">
        <v>153</v>
      </c>
      <c r="O25" s="557" t="s">
        <v>154</v>
      </c>
      <c r="P25" s="557" t="s">
        <v>155</v>
      </c>
      <c r="Q25" s="557" t="s">
        <v>156</v>
      </c>
      <c r="R25" s="557" t="s">
        <v>157</v>
      </c>
      <c r="S25" s="188" t="s">
        <v>158</v>
      </c>
      <c r="T25" s="557" t="s">
        <v>159</v>
      </c>
      <c r="U25" s="557" t="s">
        <v>160</v>
      </c>
      <c r="V25" s="557" t="s">
        <v>161</v>
      </c>
    </row>
    <row r="26" spans="1:22" ht="15" customHeight="1" x14ac:dyDescent="0.3">
      <c r="A26" s="201">
        <f>'Scheme Entry - Baseline'!T49</f>
        <v>0.1111111111111111</v>
      </c>
      <c r="B26" s="816">
        <v>1</v>
      </c>
      <c r="C26" s="817" t="str">
        <f>C8</f>
        <v>Start</v>
      </c>
      <c r="D26" s="817" t="str">
        <f>D8</f>
        <v>to jct 1</v>
      </c>
      <c r="E26" s="816" t="str">
        <f t="shared" ref="E26:J30" si="7">E8</f>
        <v>-</v>
      </c>
      <c r="F26" s="816" t="str">
        <f t="shared" si="7"/>
        <v>-</v>
      </c>
      <c r="G26" s="816" t="str">
        <f t="shared" si="7"/>
        <v>-</v>
      </c>
      <c r="H26" s="816" t="str">
        <f t="shared" si="7"/>
        <v>-</v>
      </c>
      <c r="I26" s="818">
        <f t="shared" si="7"/>
        <v>2019</v>
      </c>
      <c r="J26" s="813">
        <f>J8</f>
        <v>0.67683936202868722</v>
      </c>
      <c r="K26" s="816">
        <f>'Scheme Entry - Baseline'!$I$21</f>
        <v>2021</v>
      </c>
      <c r="L26" s="813">
        <v>0.63900000000000001</v>
      </c>
      <c r="M26" s="819">
        <f>('Scheme Entry - Baseline'!$Y$37*'Scheme Entry - Baseline'!$I$34)</f>
        <v>0</v>
      </c>
      <c r="N26" s="820">
        <f>M26*L26*'Scheme Entry - Baseline'!I36*'Scheme Entry - Baseline'!I9</f>
        <v>0</v>
      </c>
      <c r="O26" s="816">
        <f>O8</f>
        <v>2016</v>
      </c>
      <c r="P26" s="820">
        <f>('Sensitivity 2'!$V$26)*('Scheme Entry - Baseline'!$O$15/'Scheme Entry - Baseline'!$O$19)*L26*A26</f>
        <v>562573.49568645621</v>
      </c>
      <c r="Q26" s="820">
        <f>(('Sensitivity 2'!$V$31*('Scheme Entry - Baseline'!$O$15/'Scheme Entry - Baseline'!$O$21)*L26)*'Scheme Entry - Baseline'!$I$7*A26)</f>
        <v>227460.77145052873</v>
      </c>
      <c r="R26" s="836">
        <f>Q26+P26</f>
        <v>790034.26713698497</v>
      </c>
      <c r="S26" s="820">
        <f>N26-R26</f>
        <v>-790034.26713698497</v>
      </c>
      <c r="T26" s="822">
        <f>N26/R26</f>
        <v>0</v>
      </c>
      <c r="U26" s="544">
        <f>(M26*'Scheme Entry - Baseline'!$I$36)/R26</f>
        <v>0</v>
      </c>
      <c r="V26" s="823">
        <f>M26*'Scheme Entry - Baseline'!$I$11</f>
        <v>0</v>
      </c>
    </row>
    <row r="27" spans="1:22" ht="15" customHeight="1" x14ac:dyDescent="0.3">
      <c r="A27" s="724">
        <f>'Scheme Entry - Baseline'!T50</f>
        <v>0.22222222222222221</v>
      </c>
      <c r="B27" s="824">
        <v>2</v>
      </c>
      <c r="C27" s="817" t="str">
        <f t="shared" ref="C27:D30" si="8">C9</f>
        <v>from jct 1</v>
      </c>
      <c r="D27" s="817" t="str">
        <f t="shared" si="8"/>
        <v>to jct 2</v>
      </c>
      <c r="E27" s="824" t="str">
        <f t="shared" si="7"/>
        <v>-</v>
      </c>
      <c r="F27" s="824" t="str">
        <f t="shared" si="7"/>
        <v>-</v>
      </c>
      <c r="G27" s="824" t="str">
        <f t="shared" si="7"/>
        <v>-</v>
      </c>
      <c r="H27" s="824" t="str">
        <f t="shared" si="7"/>
        <v>-</v>
      </c>
      <c r="I27" s="825">
        <f t="shared" si="7"/>
        <v>2019</v>
      </c>
      <c r="J27" s="813">
        <f t="shared" si="7"/>
        <v>0.67683936202868722</v>
      </c>
      <c r="K27" s="816">
        <f>'Scheme Entry - Baseline'!$I$21</f>
        <v>2021</v>
      </c>
      <c r="L27" s="814">
        <v>0.63900000000000001</v>
      </c>
      <c r="M27" s="819">
        <f>('Scheme Entry - Baseline'!$Y$38*'Scheme Entry - Baseline'!$I$34)</f>
        <v>0</v>
      </c>
      <c r="N27" s="820">
        <f>M27*L27*'Scheme Entry - Baseline'!I36*'Scheme Entry - Baseline'!I9</f>
        <v>0</v>
      </c>
      <c r="O27" s="824">
        <f>O9</f>
        <v>2016</v>
      </c>
      <c r="P27" s="820">
        <f>('Sensitivity 2'!$V$26)*('Scheme Entry - Baseline'!$O$15/'Scheme Entry - Baseline'!$O$19)*L27*A27</f>
        <v>1125146.9913729124</v>
      </c>
      <c r="Q27" s="820">
        <f>(('Sensitivity 2'!$V$31*('Scheme Entry - Baseline'!$O$15/'Scheme Entry - Baseline'!$O$21)*L27)*'Scheme Entry - Baseline'!$I$7*A27)</f>
        <v>454921.54290105746</v>
      </c>
      <c r="R27" s="836">
        <f>P27+Q27</f>
        <v>1580068.5342739699</v>
      </c>
      <c r="S27" s="820">
        <f t="shared" ref="S27:S30" si="9">N27-R27</f>
        <v>-1580068.5342739699</v>
      </c>
      <c r="T27" s="822">
        <f t="shared" ref="T27:T30" si="10">N27/R27</f>
        <v>0</v>
      </c>
      <c r="U27" s="544">
        <f>(M27*'Scheme Entry - Baseline'!$I$36)/R27</f>
        <v>0</v>
      </c>
      <c r="V27" s="823">
        <f>M27*'Scheme Entry - Baseline'!$I$11</f>
        <v>0</v>
      </c>
    </row>
    <row r="28" spans="1:22" ht="15" customHeight="1" x14ac:dyDescent="0.3">
      <c r="A28" s="724">
        <f>'Scheme Entry - Baseline'!T51</f>
        <v>0.22222222222222221</v>
      </c>
      <c r="B28" s="824">
        <v>3</v>
      </c>
      <c r="C28" s="817" t="str">
        <f t="shared" si="8"/>
        <v>from jct 2</v>
      </c>
      <c r="D28" s="817" t="str">
        <f t="shared" si="8"/>
        <v>to jct 3</v>
      </c>
      <c r="E28" s="824" t="str">
        <f t="shared" si="7"/>
        <v>-</v>
      </c>
      <c r="F28" s="824" t="str">
        <f t="shared" si="7"/>
        <v>-</v>
      </c>
      <c r="G28" s="824" t="str">
        <f t="shared" si="7"/>
        <v>-</v>
      </c>
      <c r="H28" s="824" t="str">
        <f t="shared" si="7"/>
        <v>-</v>
      </c>
      <c r="I28" s="825">
        <f t="shared" si="7"/>
        <v>2019</v>
      </c>
      <c r="J28" s="813">
        <f t="shared" si="7"/>
        <v>0.67683936202868722</v>
      </c>
      <c r="K28" s="816">
        <f>'Scheme Entry - Baseline'!$I$21</f>
        <v>2021</v>
      </c>
      <c r="L28" s="814">
        <v>0.63900000000000001</v>
      </c>
      <c r="M28" s="819">
        <f>('Scheme Entry - Baseline'!$Y$39*'Scheme Entry - Baseline'!$I$34)</f>
        <v>0</v>
      </c>
      <c r="N28" s="820">
        <f>M28*L28*'Scheme Entry - Baseline'!I36*'Scheme Entry - Baseline'!I9</f>
        <v>0</v>
      </c>
      <c r="O28" s="824">
        <f>O10</f>
        <v>2016</v>
      </c>
      <c r="P28" s="820">
        <f>('Sensitivity 2'!$V$26)*('Scheme Entry - Baseline'!$O$15/'Scheme Entry - Baseline'!$O$19)*L28*A28</f>
        <v>1125146.9913729124</v>
      </c>
      <c r="Q28" s="820">
        <f>(('Sensitivity 2'!$V$31*('Scheme Entry - Baseline'!$O$15/'Scheme Entry - Baseline'!$O$21)*L28)*'Scheme Entry - Baseline'!$I$7*A28)</f>
        <v>454921.54290105746</v>
      </c>
      <c r="R28" s="836">
        <f>Q28+P28</f>
        <v>1580068.5342739699</v>
      </c>
      <c r="S28" s="820">
        <f t="shared" si="9"/>
        <v>-1580068.5342739699</v>
      </c>
      <c r="T28" s="822">
        <f t="shared" si="10"/>
        <v>0</v>
      </c>
      <c r="U28" s="544">
        <f>(M28*'Scheme Entry - Baseline'!$I$36)/R28</f>
        <v>0</v>
      </c>
      <c r="V28" s="823">
        <f>M28*'Scheme Entry - Baseline'!$I$11</f>
        <v>0</v>
      </c>
    </row>
    <row r="29" spans="1:22" ht="15" customHeight="1" x14ac:dyDescent="0.3">
      <c r="A29" s="724">
        <f>'Scheme Entry - Baseline'!T52</f>
        <v>0.22222222222222221</v>
      </c>
      <c r="B29" s="824">
        <v>4</v>
      </c>
      <c r="C29" s="817" t="str">
        <f t="shared" si="8"/>
        <v>from jct 3</v>
      </c>
      <c r="D29" s="817" t="str">
        <f t="shared" si="8"/>
        <v>to jct 4</v>
      </c>
      <c r="E29" s="824" t="str">
        <f t="shared" si="7"/>
        <v>-</v>
      </c>
      <c r="F29" s="824" t="str">
        <f t="shared" si="7"/>
        <v>-</v>
      </c>
      <c r="G29" s="824" t="str">
        <f t="shared" si="7"/>
        <v>-</v>
      </c>
      <c r="H29" s="824" t="str">
        <f t="shared" si="7"/>
        <v>-</v>
      </c>
      <c r="I29" s="825">
        <f t="shared" si="7"/>
        <v>2019</v>
      </c>
      <c r="J29" s="813">
        <f t="shared" si="7"/>
        <v>0.67683936202868722</v>
      </c>
      <c r="K29" s="816">
        <f>'Scheme Entry - Baseline'!$I$21</f>
        <v>2021</v>
      </c>
      <c r="L29" s="814">
        <v>0.63900000000000001</v>
      </c>
      <c r="M29" s="819">
        <f>('Scheme Entry - Baseline'!$Y$40*'Scheme Entry - Baseline'!$I$34)</f>
        <v>0</v>
      </c>
      <c r="N29" s="820">
        <f>M29*L29*'Scheme Entry - Baseline'!I36*'Scheme Entry - Baseline'!I9</f>
        <v>0</v>
      </c>
      <c r="O29" s="824">
        <f>O11</f>
        <v>2016</v>
      </c>
      <c r="P29" s="820">
        <f>('Sensitivity 2'!$V$26)*('Scheme Entry - Baseline'!$O$15/'Scheme Entry - Baseline'!$O$19)*L29*A29</f>
        <v>1125146.9913729124</v>
      </c>
      <c r="Q29" s="820">
        <f>(('Sensitivity 2'!$V$31*('Scheme Entry - Baseline'!$O$15/'Scheme Entry - Baseline'!$O$21)*L29)*'Scheme Entry - Baseline'!$I$7*A29)</f>
        <v>454921.54290105746</v>
      </c>
      <c r="R29" s="836">
        <f>Q29+P29</f>
        <v>1580068.5342739699</v>
      </c>
      <c r="S29" s="820">
        <f t="shared" si="9"/>
        <v>-1580068.5342739699</v>
      </c>
      <c r="T29" s="822">
        <f t="shared" si="10"/>
        <v>0</v>
      </c>
      <c r="U29" s="544">
        <f>(M29*'Scheme Entry - Baseline'!$I$36)/R29</f>
        <v>0</v>
      </c>
      <c r="V29" s="823">
        <f>M29*'Scheme Entry - Baseline'!$I$11</f>
        <v>0</v>
      </c>
    </row>
    <row r="30" spans="1:22" ht="15" customHeight="1" thickBot="1" x14ac:dyDescent="0.35">
      <c r="A30" s="208">
        <f>'Scheme Entry - Baseline'!T53</f>
        <v>0.22222222222222221</v>
      </c>
      <c r="B30" s="826">
        <v>5</v>
      </c>
      <c r="C30" s="827" t="str">
        <f t="shared" si="8"/>
        <v>from jct 3</v>
      </c>
      <c r="D30" s="827" t="str">
        <f t="shared" si="8"/>
        <v>End</v>
      </c>
      <c r="E30" s="826" t="str">
        <f t="shared" si="7"/>
        <v>-</v>
      </c>
      <c r="F30" s="826" t="str">
        <f t="shared" si="7"/>
        <v>-</v>
      </c>
      <c r="G30" s="826" t="str">
        <f t="shared" si="7"/>
        <v>-</v>
      </c>
      <c r="H30" s="826" t="str">
        <f t="shared" si="7"/>
        <v>-</v>
      </c>
      <c r="I30" s="828">
        <f t="shared" si="7"/>
        <v>2019</v>
      </c>
      <c r="J30" s="815">
        <f t="shared" si="7"/>
        <v>0.67683936202868722</v>
      </c>
      <c r="K30" s="826">
        <f>'Scheme Entry - Baseline'!$I$21</f>
        <v>2021</v>
      </c>
      <c r="L30" s="815">
        <v>0.63900000000000001</v>
      </c>
      <c r="M30" s="830">
        <f>('Scheme Entry - Baseline'!$Y$41*'Scheme Entry - Baseline'!$I$34)</f>
        <v>0</v>
      </c>
      <c r="N30" s="831">
        <f>M30*L30*'Scheme Entry - Baseline'!I36*'Scheme Entry - Baseline'!I9</f>
        <v>0</v>
      </c>
      <c r="O30" s="826">
        <f>O12</f>
        <v>2016</v>
      </c>
      <c r="P30" s="832">
        <f>('Sensitivity 2'!$V$26)*('Scheme Entry - Baseline'!$O$15/'Scheme Entry - Baseline'!$O$19)*L30*A30</f>
        <v>1125146.9913729124</v>
      </c>
      <c r="Q30" s="832">
        <f>(('Sensitivity 2'!$V$31*('Scheme Entry - Baseline'!$O$15/'Scheme Entry - Baseline'!$O$21)*L30)*'Scheme Entry - Baseline'!$I$7*A30)</f>
        <v>454921.54290105746</v>
      </c>
      <c r="R30" s="833">
        <f>Q30+P30</f>
        <v>1580068.5342739699</v>
      </c>
      <c r="S30" s="831">
        <f t="shared" si="9"/>
        <v>-1580068.5342739699</v>
      </c>
      <c r="T30" s="834">
        <f t="shared" si="10"/>
        <v>0</v>
      </c>
      <c r="U30" s="543">
        <f>(M30*'Scheme Entry - Baseline'!$I$36)/R30</f>
        <v>0</v>
      </c>
      <c r="V30" s="835">
        <f>M30*'Scheme Entry - Baseline'!$I$11</f>
        <v>0</v>
      </c>
    </row>
    <row r="31" spans="1:22" ht="15" customHeight="1" x14ac:dyDescent="0.3">
      <c r="A31" s="79"/>
      <c r="B31" s="678"/>
      <c r="C31" s="79"/>
      <c r="D31" s="79"/>
      <c r="E31" s="79"/>
      <c r="F31" s="79"/>
      <c r="G31" s="79"/>
      <c r="H31" s="79"/>
      <c r="I31" s="58"/>
      <c r="J31" s="58"/>
      <c r="K31" s="58"/>
      <c r="L31" s="58"/>
      <c r="M31" s="58"/>
      <c r="N31" s="58"/>
      <c r="O31" s="58"/>
      <c r="P31" s="79"/>
      <c r="Q31" s="79"/>
      <c r="R31" s="79"/>
      <c r="S31" s="79"/>
      <c r="T31" s="79"/>
      <c r="U31" s="79"/>
      <c r="V31" s="79"/>
    </row>
    <row r="32" spans="1:22" ht="15" customHeight="1" x14ac:dyDescent="0.3">
      <c r="A32" s="79"/>
      <c r="B32" s="678"/>
      <c r="C32" s="79"/>
      <c r="D32" s="79"/>
      <c r="E32" s="79"/>
      <c r="F32" s="79"/>
      <c r="G32" s="79"/>
      <c r="H32" s="79"/>
      <c r="I32" s="58"/>
      <c r="J32" s="58"/>
      <c r="K32" s="58"/>
      <c r="L32" s="58"/>
      <c r="M32" s="58"/>
      <c r="N32" s="58"/>
      <c r="O32" s="58"/>
      <c r="P32" s="79"/>
      <c r="Q32" s="79"/>
      <c r="R32" s="79"/>
      <c r="S32" s="79"/>
      <c r="T32" s="79"/>
      <c r="U32" s="79"/>
      <c r="V32" s="79"/>
    </row>
    <row r="33" spans="1:22" ht="15" customHeight="1" x14ac:dyDescent="0.3">
      <c r="A33" s="79"/>
      <c r="B33" s="678"/>
      <c r="C33" s="79"/>
      <c r="D33" s="79"/>
      <c r="E33" s="79"/>
      <c r="F33" s="79"/>
      <c r="G33" s="79"/>
      <c r="H33" s="79"/>
      <c r="I33" s="58"/>
      <c r="J33" s="58"/>
      <c r="K33" s="58"/>
      <c r="L33" s="58"/>
      <c r="M33" s="58"/>
      <c r="N33" s="58"/>
      <c r="O33" s="58"/>
      <c r="P33" s="79"/>
      <c r="Q33" s="79"/>
      <c r="R33" s="79"/>
      <c r="S33" s="79"/>
      <c r="T33" s="79"/>
      <c r="U33" s="79"/>
      <c r="V33" s="79"/>
    </row>
    <row r="34" spans="1:22" ht="15" customHeight="1" x14ac:dyDescent="0.3">
      <c r="A34" s="79"/>
      <c r="B34" s="678"/>
      <c r="C34" s="79"/>
      <c r="D34" s="79"/>
      <c r="E34" s="79"/>
      <c r="F34" s="79"/>
      <c r="G34" s="79"/>
      <c r="H34" s="79"/>
      <c r="I34" s="58"/>
      <c r="J34" s="58"/>
      <c r="K34" s="58"/>
      <c r="L34" s="58"/>
      <c r="M34" s="58"/>
      <c r="N34" s="58"/>
      <c r="O34" s="58"/>
      <c r="P34" s="79"/>
      <c r="Q34" s="79"/>
      <c r="R34" s="79"/>
      <c r="S34" s="79"/>
      <c r="T34" s="79"/>
      <c r="U34" s="79"/>
      <c r="V34" s="79"/>
    </row>
    <row r="35" spans="1:22" ht="15" customHeight="1" x14ac:dyDescent="0.3">
      <c r="A35" s="79"/>
      <c r="B35" s="678"/>
      <c r="C35" s="79"/>
      <c r="D35" s="79"/>
      <c r="E35" s="79"/>
      <c r="F35" s="79"/>
      <c r="G35" s="79"/>
      <c r="H35" s="79"/>
      <c r="I35" s="58"/>
      <c r="J35" s="58"/>
      <c r="K35" s="58"/>
      <c r="L35" s="58"/>
      <c r="M35" s="58"/>
      <c r="N35" s="58"/>
      <c r="O35" s="58"/>
      <c r="P35" s="79"/>
      <c r="Q35" s="79"/>
      <c r="R35" s="79"/>
      <c r="S35" s="79"/>
      <c r="T35" s="79"/>
      <c r="U35" s="79"/>
      <c r="V35" s="79"/>
    </row>
    <row r="36" spans="1:22" ht="21" customHeight="1" x14ac:dyDescent="0.3">
      <c r="A36" s="15"/>
      <c r="B36" s="675"/>
      <c r="C36" s="15"/>
      <c r="D36" s="15"/>
      <c r="E36" s="15"/>
      <c r="F36" s="15"/>
      <c r="G36" s="15"/>
      <c r="H36" s="15"/>
      <c r="I36" s="517"/>
      <c r="J36" s="517"/>
      <c r="K36" s="517"/>
      <c r="L36" s="517"/>
      <c r="M36" s="517"/>
      <c r="N36" s="517"/>
      <c r="O36" s="517"/>
      <c r="P36" s="15"/>
      <c r="Q36" s="15"/>
      <c r="R36" s="15"/>
      <c r="S36" s="15"/>
      <c r="T36" s="15"/>
      <c r="U36" s="15"/>
      <c r="V36" s="15"/>
    </row>
  </sheetData>
  <mergeCells count="4">
    <mergeCell ref="N15:V15"/>
    <mergeCell ref="N24:V24"/>
    <mergeCell ref="J15:M15"/>
    <mergeCell ref="J24:M24"/>
  </mergeCells>
  <dataValidations disablePrompts="1" count="4">
    <dataValidation allowBlank="1" showInputMessage="1" showErrorMessage="1" prompt="53.347901" sqref="JM65454 TI65454 ADE65454 ANA65454 AWW65454 BGS65454 BQO65454 CAK65454 CKG65454 CUC65454 DDY65454 DNU65454 DXQ65454 EHM65454 ERI65454 FBE65454 FLA65454 FUW65454 GES65454 GOO65454 GYK65454 HIG65454 HSC65454 IBY65454 ILU65454 IVQ65454 JFM65454 JPI65454 JZE65454 KJA65454 KSW65454 LCS65454 LMO65454 LWK65454 MGG65454 MQC65454 MZY65454 NJU65454 NTQ65454 ODM65454 ONI65454 OXE65454 PHA65454 PQW65454 QAS65454 QKO65454 QUK65454 REG65454 ROC65454 RXY65454 SHU65454 SRQ65454 TBM65454 TLI65454 TVE65454 UFA65454 UOW65454 UYS65454 VIO65454 VSK65454 WCG65454 WMC65454 WVY65454 JM130990 TI130990 ADE130990 ANA130990 AWW130990 BGS130990 BQO130990 CAK130990 CKG130990 CUC130990 DDY130990 DNU130990 DXQ130990 EHM130990 ERI130990 FBE130990 FLA130990 FUW130990 GES130990 GOO130990 GYK130990 HIG130990 HSC130990 IBY130990 ILU130990 IVQ130990 JFM130990 JPI130990 JZE130990 KJA130990 KSW130990 LCS130990 LMO130990 LWK130990 MGG130990 MQC130990 MZY130990 NJU130990 NTQ130990 ODM130990 ONI130990 OXE130990 PHA130990 PQW130990 QAS130990 QKO130990 QUK130990 REG130990 ROC130990 RXY130990 SHU130990 SRQ130990 TBM130990 TLI130990 TVE130990 UFA130990 UOW130990 UYS130990 VIO130990 VSK130990 WCG130990 WMC130990 WVY130990 JM196526 TI196526 ADE196526 ANA196526 AWW196526 BGS196526 BQO196526 CAK196526 CKG196526 CUC196526 DDY196526 DNU196526 DXQ196526 EHM196526 ERI196526 FBE196526 FLA196526 FUW196526 GES196526 GOO196526 GYK196526 HIG196526 HSC196526 IBY196526 ILU196526 IVQ196526 JFM196526 JPI196526 JZE196526 KJA196526 KSW196526 LCS196526 LMO196526 LWK196526 MGG196526 MQC196526 MZY196526 NJU196526 NTQ196526 ODM196526 ONI196526 OXE196526 PHA196526 PQW196526 QAS196526 QKO196526 QUK196526 REG196526 ROC196526 RXY196526 SHU196526 SRQ196526 TBM196526 TLI196526 TVE196526 UFA196526 UOW196526 UYS196526 VIO196526 VSK196526 WCG196526 WMC196526 WVY196526 JM262062 TI262062 ADE262062 ANA262062 AWW262062 BGS262062 BQO262062 CAK262062 CKG262062 CUC262062 DDY262062 DNU262062 DXQ262062 EHM262062 ERI262062 FBE262062 FLA262062 FUW262062 GES262062 GOO262062 GYK262062 HIG262062 HSC262062 IBY262062 ILU262062 IVQ262062 JFM262062 JPI262062 JZE262062 KJA262062 KSW262062 LCS262062 LMO262062 LWK262062 MGG262062 MQC262062 MZY262062 NJU262062 NTQ262062 ODM262062 ONI262062 OXE262062 PHA262062 PQW262062 QAS262062 QKO262062 QUK262062 REG262062 ROC262062 RXY262062 SHU262062 SRQ262062 TBM262062 TLI262062 TVE262062 UFA262062 UOW262062 UYS262062 VIO262062 VSK262062 WCG262062 WMC262062 WVY262062 JM327598 TI327598 ADE327598 ANA327598 AWW327598 BGS327598 BQO327598 CAK327598 CKG327598 CUC327598 DDY327598 DNU327598 DXQ327598 EHM327598 ERI327598 FBE327598 FLA327598 FUW327598 GES327598 GOO327598 GYK327598 HIG327598 HSC327598 IBY327598 ILU327598 IVQ327598 JFM327598 JPI327598 JZE327598 KJA327598 KSW327598 LCS327598 LMO327598 LWK327598 MGG327598 MQC327598 MZY327598 NJU327598 NTQ327598 ODM327598 ONI327598 OXE327598 PHA327598 PQW327598 QAS327598 QKO327598 QUK327598 REG327598 ROC327598 RXY327598 SHU327598 SRQ327598 TBM327598 TLI327598 TVE327598 UFA327598 UOW327598 UYS327598 VIO327598 VSK327598 WCG327598 WMC327598 WVY327598 JM393134 TI393134 ADE393134 ANA393134 AWW393134 BGS393134 BQO393134 CAK393134 CKG393134 CUC393134 DDY393134 DNU393134 DXQ393134 EHM393134 ERI393134 FBE393134 FLA393134 FUW393134 GES393134 GOO393134 GYK393134 HIG393134 HSC393134 IBY393134 ILU393134 IVQ393134 JFM393134 JPI393134 JZE393134 KJA393134 KSW393134 LCS393134 LMO393134 LWK393134 MGG393134 MQC393134 MZY393134 NJU393134 NTQ393134 ODM393134 ONI393134 OXE393134 PHA393134 PQW393134 QAS393134 QKO393134 QUK393134 REG393134 ROC393134 RXY393134 SHU393134 SRQ393134 TBM393134 TLI393134 TVE393134 UFA393134 UOW393134 UYS393134 VIO393134 VSK393134 WCG393134 WMC393134 WVY393134 JM458670 TI458670 ADE458670 ANA458670 AWW458670 BGS458670 BQO458670 CAK458670 CKG458670 CUC458670 DDY458670 DNU458670 DXQ458670 EHM458670 ERI458670 FBE458670 FLA458670 FUW458670 GES458670 GOO458670 GYK458670 HIG458670 HSC458670 IBY458670 ILU458670 IVQ458670 JFM458670 JPI458670 JZE458670 KJA458670 KSW458670 LCS458670 LMO458670 LWK458670 MGG458670 MQC458670 MZY458670 NJU458670 NTQ458670 ODM458670 ONI458670 OXE458670 PHA458670 PQW458670 QAS458670 QKO458670 QUK458670 REG458670 ROC458670 RXY458670 SHU458670 SRQ458670 TBM458670 TLI458670 TVE458670 UFA458670 UOW458670 UYS458670 VIO458670 VSK458670 WCG458670 WMC458670 WVY458670 JM524206 TI524206 ADE524206 ANA524206 AWW524206 BGS524206 BQO524206 CAK524206 CKG524206 CUC524206 DDY524206 DNU524206 DXQ524206 EHM524206 ERI524206 FBE524206 FLA524206 FUW524206 GES524206 GOO524206 GYK524206 HIG524206 HSC524206 IBY524206 ILU524206 IVQ524206 JFM524206 JPI524206 JZE524206 KJA524206 KSW524206 LCS524206 LMO524206 LWK524206 MGG524206 MQC524206 MZY524206 NJU524206 NTQ524206 ODM524206 ONI524206 OXE524206 PHA524206 PQW524206 QAS524206 QKO524206 QUK524206 REG524206 ROC524206 RXY524206 SHU524206 SRQ524206 TBM524206 TLI524206 TVE524206 UFA524206 UOW524206 UYS524206 VIO524206 VSK524206 WCG524206 WMC524206 WVY524206 JM589742 TI589742 ADE589742 ANA589742 AWW589742 BGS589742 BQO589742 CAK589742 CKG589742 CUC589742 DDY589742 DNU589742 DXQ589742 EHM589742 ERI589742 FBE589742 FLA589742 FUW589742 GES589742 GOO589742 GYK589742 HIG589742 HSC589742 IBY589742 ILU589742 IVQ589742 JFM589742 JPI589742 JZE589742 KJA589742 KSW589742 LCS589742 LMO589742 LWK589742 MGG589742 MQC589742 MZY589742 NJU589742 NTQ589742 ODM589742 ONI589742 OXE589742 PHA589742 PQW589742 QAS589742 QKO589742 QUK589742 REG589742 ROC589742 RXY589742 SHU589742 SRQ589742 TBM589742 TLI589742 TVE589742 UFA589742 UOW589742 UYS589742 VIO589742 VSK589742 WCG589742 WMC589742 WVY589742 JM655278 TI655278 ADE655278 ANA655278 AWW655278 BGS655278 BQO655278 CAK655278 CKG655278 CUC655278 DDY655278 DNU655278 DXQ655278 EHM655278 ERI655278 FBE655278 FLA655278 FUW655278 GES655278 GOO655278 GYK655278 HIG655278 HSC655278 IBY655278 ILU655278 IVQ655278 JFM655278 JPI655278 JZE655278 KJA655278 KSW655278 LCS655278 LMO655278 LWK655278 MGG655278 MQC655278 MZY655278 NJU655278 NTQ655278 ODM655278 ONI655278 OXE655278 PHA655278 PQW655278 QAS655278 QKO655278 QUK655278 REG655278 ROC655278 RXY655278 SHU655278 SRQ655278 TBM655278 TLI655278 TVE655278 UFA655278 UOW655278 UYS655278 VIO655278 VSK655278 WCG655278 WMC655278 WVY655278 JM720814 TI720814 ADE720814 ANA720814 AWW720814 BGS720814 BQO720814 CAK720814 CKG720814 CUC720814 DDY720814 DNU720814 DXQ720814 EHM720814 ERI720814 FBE720814 FLA720814 FUW720814 GES720814 GOO720814 GYK720814 HIG720814 HSC720814 IBY720814 ILU720814 IVQ720814 JFM720814 JPI720814 JZE720814 KJA720814 KSW720814 LCS720814 LMO720814 LWK720814 MGG720814 MQC720814 MZY720814 NJU720814 NTQ720814 ODM720814 ONI720814 OXE720814 PHA720814 PQW720814 QAS720814 QKO720814 QUK720814 REG720814 ROC720814 RXY720814 SHU720814 SRQ720814 TBM720814 TLI720814 TVE720814 UFA720814 UOW720814 UYS720814 VIO720814 VSK720814 WCG720814 WMC720814 WVY720814 JM786350 TI786350 ADE786350 ANA786350 AWW786350 BGS786350 BQO786350 CAK786350 CKG786350 CUC786350 DDY786350 DNU786350 DXQ786350 EHM786350 ERI786350 FBE786350 FLA786350 FUW786350 GES786350 GOO786350 GYK786350 HIG786350 HSC786350 IBY786350 ILU786350 IVQ786350 JFM786350 JPI786350 JZE786350 KJA786350 KSW786350 LCS786350 LMO786350 LWK786350 MGG786350 MQC786350 MZY786350 NJU786350 NTQ786350 ODM786350 ONI786350 OXE786350 PHA786350 PQW786350 QAS786350 QKO786350 QUK786350 REG786350 ROC786350 RXY786350 SHU786350 SRQ786350 TBM786350 TLI786350 TVE786350 UFA786350 UOW786350 UYS786350 VIO786350 VSK786350 WCG786350 WMC786350 WVY786350 JM851886 TI851886 ADE851886 ANA851886 AWW851886 BGS851886 BQO851886 CAK851886 CKG851886 CUC851886 DDY851886 DNU851886 DXQ851886 EHM851886 ERI851886 FBE851886 FLA851886 FUW851886 GES851886 GOO851886 GYK851886 HIG851886 HSC851886 IBY851886 ILU851886 IVQ851886 JFM851886 JPI851886 JZE851886 KJA851886 KSW851886 LCS851886 LMO851886 LWK851886 MGG851886 MQC851886 MZY851886 NJU851886 NTQ851886 ODM851886 ONI851886 OXE851886 PHA851886 PQW851886 QAS851886 QKO851886 QUK851886 REG851886 ROC851886 RXY851886 SHU851886 SRQ851886 TBM851886 TLI851886 TVE851886 UFA851886 UOW851886 UYS851886 VIO851886 VSK851886 WCG851886 WMC851886 WVY851886 JM917422 TI917422 ADE917422 ANA917422 AWW917422 BGS917422 BQO917422 CAK917422 CKG917422 CUC917422 DDY917422 DNU917422 DXQ917422 EHM917422 ERI917422 FBE917422 FLA917422 FUW917422 GES917422 GOO917422 GYK917422 HIG917422 HSC917422 IBY917422 ILU917422 IVQ917422 JFM917422 JPI917422 JZE917422 KJA917422 KSW917422 LCS917422 LMO917422 LWK917422 MGG917422 MQC917422 MZY917422 NJU917422 NTQ917422 ODM917422 ONI917422 OXE917422 PHA917422 PQW917422 QAS917422 QKO917422 QUK917422 REG917422 ROC917422 RXY917422 SHU917422 SRQ917422 TBM917422 TLI917422 TVE917422 UFA917422 UOW917422 UYS917422 VIO917422 VSK917422 WCG917422 WMC917422 WVY917422 JM982958 TI982958 ADE982958 ANA982958 AWW982958 BGS982958 BQO982958 CAK982958 CKG982958 CUC982958 DDY982958 DNU982958 DXQ982958 EHM982958 ERI982958 FBE982958 FLA982958 FUW982958 GES982958 GOO982958 GYK982958 HIG982958 HSC982958 IBY982958 ILU982958 IVQ982958 JFM982958 JPI982958 JZE982958 KJA982958 KSW982958 LCS982958 LMO982958 LWK982958 MGG982958 MQC982958 MZY982958 NJU982958 NTQ982958 ODM982958 ONI982958 OXE982958 PHA982958 PQW982958 QAS982958 QKO982958 QUK982958 REG982958 ROC982958 RXY982958 SHU982958 SRQ982958 TBM982958 TLI982958 TVE982958 UFA982958 UOW982958 UYS982958 VIO982958 VSK982958 WCG982958 WMC982958 WVY982958"/>
    <dataValidation allowBlank="1" showInputMessage="1" showErrorMessage="1" prompt="-6.294484" sqref="JO65454 TK65454 ADG65454 ANC65454 AWY65454 BGU65454 BQQ65454 CAM65454 CKI65454 CUE65454 DEA65454 DNW65454 DXS65454 EHO65454 ERK65454 FBG65454 FLC65454 FUY65454 GEU65454 GOQ65454 GYM65454 HII65454 HSE65454 ICA65454 ILW65454 IVS65454 JFO65454 JPK65454 JZG65454 KJC65454 KSY65454 LCU65454 LMQ65454 LWM65454 MGI65454 MQE65454 NAA65454 NJW65454 NTS65454 ODO65454 ONK65454 OXG65454 PHC65454 PQY65454 QAU65454 QKQ65454 QUM65454 REI65454 ROE65454 RYA65454 SHW65454 SRS65454 TBO65454 TLK65454 TVG65454 UFC65454 UOY65454 UYU65454 VIQ65454 VSM65454 WCI65454 WME65454 WWA65454 JO130990 TK130990 ADG130990 ANC130990 AWY130990 BGU130990 BQQ130990 CAM130990 CKI130990 CUE130990 DEA130990 DNW130990 DXS130990 EHO130990 ERK130990 FBG130990 FLC130990 FUY130990 GEU130990 GOQ130990 GYM130990 HII130990 HSE130990 ICA130990 ILW130990 IVS130990 JFO130990 JPK130990 JZG130990 KJC130990 KSY130990 LCU130990 LMQ130990 LWM130990 MGI130990 MQE130990 NAA130990 NJW130990 NTS130990 ODO130990 ONK130990 OXG130990 PHC130990 PQY130990 QAU130990 QKQ130990 QUM130990 REI130990 ROE130990 RYA130990 SHW130990 SRS130990 TBO130990 TLK130990 TVG130990 UFC130990 UOY130990 UYU130990 VIQ130990 VSM130990 WCI130990 WME130990 WWA130990 JO196526 TK196526 ADG196526 ANC196526 AWY196526 BGU196526 BQQ196526 CAM196526 CKI196526 CUE196526 DEA196526 DNW196526 DXS196526 EHO196526 ERK196526 FBG196526 FLC196526 FUY196526 GEU196526 GOQ196526 GYM196526 HII196526 HSE196526 ICA196526 ILW196526 IVS196526 JFO196526 JPK196526 JZG196526 KJC196526 KSY196526 LCU196526 LMQ196526 LWM196526 MGI196526 MQE196526 NAA196526 NJW196526 NTS196526 ODO196526 ONK196526 OXG196526 PHC196526 PQY196526 QAU196526 QKQ196526 QUM196526 REI196526 ROE196526 RYA196526 SHW196526 SRS196526 TBO196526 TLK196526 TVG196526 UFC196526 UOY196526 UYU196526 VIQ196526 VSM196526 WCI196526 WME196526 WWA196526 JO262062 TK262062 ADG262062 ANC262062 AWY262062 BGU262062 BQQ262062 CAM262062 CKI262062 CUE262062 DEA262062 DNW262062 DXS262062 EHO262062 ERK262062 FBG262062 FLC262062 FUY262062 GEU262062 GOQ262062 GYM262062 HII262062 HSE262062 ICA262062 ILW262062 IVS262062 JFO262062 JPK262062 JZG262062 KJC262062 KSY262062 LCU262062 LMQ262062 LWM262062 MGI262062 MQE262062 NAA262062 NJW262062 NTS262062 ODO262062 ONK262062 OXG262062 PHC262062 PQY262062 QAU262062 QKQ262062 QUM262062 REI262062 ROE262062 RYA262062 SHW262062 SRS262062 TBO262062 TLK262062 TVG262062 UFC262062 UOY262062 UYU262062 VIQ262062 VSM262062 WCI262062 WME262062 WWA262062 JO327598 TK327598 ADG327598 ANC327598 AWY327598 BGU327598 BQQ327598 CAM327598 CKI327598 CUE327598 DEA327598 DNW327598 DXS327598 EHO327598 ERK327598 FBG327598 FLC327598 FUY327598 GEU327598 GOQ327598 GYM327598 HII327598 HSE327598 ICA327598 ILW327598 IVS327598 JFO327598 JPK327598 JZG327598 KJC327598 KSY327598 LCU327598 LMQ327598 LWM327598 MGI327598 MQE327598 NAA327598 NJW327598 NTS327598 ODO327598 ONK327598 OXG327598 PHC327598 PQY327598 QAU327598 QKQ327598 QUM327598 REI327598 ROE327598 RYA327598 SHW327598 SRS327598 TBO327598 TLK327598 TVG327598 UFC327598 UOY327598 UYU327598 VIQ327598 VSM327598 WCI327598 WME327598 WWA327598 JO393134 TK393134 ADG393134 ANC393134 AWY393134 BGU393134 BQQ393134 CAM393134 CKI393134 CUE393134 DEA393134 DNW393134 DXS393134 EHO393134 ERK393134 FBG393134 FLC393134 FUY393134 GEU393134 GOQ393134 GYM393134 HII393134 HSE393134 ICA393134 ILW393134 IVS393134 JFO393134 JPK393134 JZG393134 KJC393134 KSY393134 LCU393134 LMQ393134 LWM393134 MGI393134 MQE393134 NAA393134 NJW393134 NTS393134 ODO393134 ONK393134 OXG393134 PHC393134 PQY393134 QAU393134 QKQ393134 QUM393134 REI393134 ROE393134 RYA393134 SHW393134 SRS393134 TBO393134 TLK393134 TVG393134 UFC393134 UOY393134 UYU393134 VIQ393134 VSM393134 WCI393134 WME393134 WWA393134 JO458670 TK458670 ADG458670 ANC458670 AWY458670 BGU458670 BQQ458670 CAM458670 CKI458670 CUE458670 DEA458670 DNW458670 DXS458670 EHO458670 ERK458670 FBG458670 FLC458670 FUY458670 GEU458670 GOQ458670 GYM458670 HII458670 HSE458670 ICA458670 ILW458670 IVS458670 JFO458670 JPK458670 JZG458670 KJC458670 KSY458670 LCU458670 LMQ458670 LWM458670 MGI458670 MQE458670 NAA458670 NJW458670 NTS458670 ODO458670 ONK458670 OXG458670 PHC458670 PQY458670 QAU458670 QKQ458670 QUM458670 REI458670 ROE458670 RYA458670 SHW458670 SRS458670 TBO458670 TLK458670 TVG458670 UFC458670 UOY458670 UYU458670 VIQ458670 VSM458670 WCI458670 WME458670 WWA458670 JO524206 TK524206 ADG524206 ANC524206 AWY524206 BGU524206 BQQ524206 CAM524206 CKI524206 CUE524206 DEA524206 DNW524206 DXS524206 EHO524206 ERK524206 FBG524206 FLC524206 FUY524206 GEU524206 GOQ524206 GYM524206 HII524206 HSE524206 ICA524206 ILW524206 IVS524206 JFO524206 JPK524206 JZG524206 KJC524206 KSY524206 LCU524206 LMQ524206 LWM524206 MGI524206 MQE524206 NAA524206 NJW524206 NTS524206 ODO524206 ONK524206 OXG524206 PHC524206 PQY524206 QAU524206 QKQ524206 QUM524206 REI524206 ROE524206 RYA524206 SHW524206 SRS524206 TBO524206 TLK524206 TVG524206 UFC524206 UOY524206 UYU524206 VIQ524206 VSM524206 WCI524206 WME524206 WWA524206 JO589742 TK589742 ADG589742 ANC589742 AWY589742 BGU589742 BQQ589742 CAM589742 CKI589742 CUE589742 DEA589742 DNW589742 DXS589742 EHO589742 ERK589742 FBG589742 FLC589742 FUY589742 GEU589742 GOQ589742 GYM589742 HII589742 HSE589742 ICA589742 ILW589742 IVS589742 JFO589742 JPK589742 JZG589742 KJC589742 KSY589742 LCU589742 LMQ589742 LWM589742 MGI589742 MQE589742 NAA589742 NJW589742 NTS589742 ODO589742 ONK589742 OXG589742 PHC589742 PQY589742 QAU589742 QKQ589742 QUM589742 REI589742 ROE589742 RYA589742 SHW589742 SRS589742 TBO589742 TLK589742 TVG589742 UFC589742 UOY589742 UYU589742 VIQ589742 VSM589742 WCI589742 WME589742 WWA589742 JO655278 TK655278 ADG655278 ANC655278 AWY655278 BGU655278 BQQ655278 CAM655278 CKI655278 CUE655278 DEA655278 DNW655278 DXS655278 EHO655278 ERK655278 FBG655278 FLC655278 FUY655278 GEU655278 GOQ655278 GYM655278 HII655278 HSE655278 ICA655278 ILW655278 IVS655278 JFO655278 JPK655278 JZG655278 KJC655278 KSY655278 LCU655278 LMQ655278 LWM655278 MGI655278 MQE655278 NAA655278 NJW655278 NTS655278 ODO655278 ONK655278 OXG655278 PHC655278 PQY655278 QAU655278 QKQ655278 QUM655278 REI655278 ROE655278 RYA655278 SHW655278 SRS655278 TBO655278 TLK655278 TVG655278 UFC655278 UOY655278 UYU655278 VIQ655278 VSM655278 WCI655278 WME655278 WWA655278 JO720814 TK720814 ADG720814 ANC720814 AWY720814 BGU720814 BQQ720814 CAM720814 CKI720814 CUE720814 DEA720814 DNW720814 DXS720814 EHO720814 ERK720814 FBG720814 FLC720814 FUY720814 GEU720814 GOQ720814 GYM720814 HII720814 HSE720814 ICA720814 ILW720814 IVS720814 JFO720814 JPK720814 JZG720814 KJC720814 KSY720814 LCU720814 LMQ720814 LWM720814 MGI720814 MQE720814 NAA720814 NJW720814 NTS720814 ODO720814 ONK720814 OXG720814 PHC720814 PQY720814 QAU720814 QKQ720814 QUM720814 REI720814 ROE720814 RYA720814 SHW720814 SRS720814 TBO720814 TLK720814 TVG720814 UFC720814 UOY720814 UYU720814 VIQ720814 VSM720814 WCI720814 WME720814 WWA720814 JO786350 TK786350 ADG786350 ANC786350 AWY786350 BGU786350 BQQ786350 CAM786350 CKI786350 CUE786350 DEA786350 DNW786350 DXS786350 EHO786350 ERK786350 FBG786350 FLC786350 FUY786350 GEU786350 GOQ786350 GYM786350 HII786350 HSE786350 ICA786350 ILW786350 IVS786350 JFO786350 JPK786350 JZG786350 KJC786350 KSY786350 LCU786350 LMQ786350 LWM786350 MGI786350 MQE786350 NAA786350 NJW786350 NTS786350 ODO786350 ONK786350 OXG786350 PHC786350 PQY786350 QAU786350 QKQ786350 QUM786350 REI786350 ROE786350 RYA786350 SHW786350 SRS786350 TBO786350 TLK786350 TVG786350 UFC786350 UOY786350 UYU786350 VIQ786350 VSM786350 WCI786350 WME786350 WWA786350 JO851886 TK851886 ADG851886 ANC851886 AWY851886 BGU851886 BQQ851886 CAM851886 CKI851886 CUE851886 DEA851886 DNW851886 DXS851886 EHO851886 ERK851886 FBG851886 FLC851886 FUY851886 GEU851886 GOQ851886 GYM851886 HII851886 HSE851886 ICA851886 ILW851886 IVS851886 JFO851886 JPK851886 JZG851886 KJC851886 KSY851886 LCU851886 LMQ851886 LWM851886 MGI851886 MQE851886 NAA851886 NJW851886 NTS851886 ODO851886 ONK851886 OXG851886 PHC851886 PQY851886 QAU851886 QKQ851886 QUM851886 REI851886 ROE851886 RYA851886 SHW851886 SRS851886 TBO851886 TLK851886 TVG851886 UFC851886 UOY851886 UYU851886 VIQ851886 VSM851886 WCI851886 WME851886 WWA851886 JO917422 TK917422 ADG917422 ANC917422 AWY917422 BGU917422 BQQ917422 CAM917422 CKI917422 CUE917422 DEA917422 DNW917422 DXS917422 EHO917422 ERK917422 FBG917422 FLC917422 FUY917422 GEU917422 GOQ917422 GYM917422 HII917422 HSE917422 ICA917422 ILW917422 IVS917422 JFO917422 JPK917422 JZG917422 KJC917422 KSY917422 LCU917422 LMQ917422 LWM917422 MGI917422 MQE917422 NAA917422 NJW917422 NTS917422 ODO917422 ONK917422 OXG917422 PHC917422 PQY917422 QAU917422 QKQ917422 QUM917422 REI917422 ROE917422 RYA917422 SHW917422 SRS917422 TBO917422 TLK917422 TVG917422 UFC917422 UOY917422 UYU917422 VIQ917422 VSM917422 WCI917422 WME917422 WWA917422 JO982958 TK982958 ADG982958 ANC982958 AWY982958 BGU982958 BQQ982958 CAM982958 CKI982958 CUE982958 DEA982958 DNW982958 DXS982958 EHO982958 ERK982958 FBG982958 FLC982958 FUY982958 GEU982958 GOQ982958 GYM982958 HII982958 HSE982958 ICA982958 ILW982958 IVS982958 JFO982958 JPK982958 JZG982958 KJC982958 KSY982958 LCU982958 LMQ982958 LWM982958 MGI982958 MQE982958 NAA982958 NJW982958 NTS982958 ODO982958 ONK982958 OXG982958 PHC982958 PQY982958 QAU982958 QKQ982958 QUM982958 REI982958 ROE982958 RYA982958 SHW982958 SRS982958 TBO982958 TLK982958 TVG982958 UFC982958 UOY982958 UYU982958 VIQ982958 VSM982958 WCI982958 WME982958 WWA982958"/>
    <dataValidation allowBlank="1" showInputMessage="1" showErrorMessage="1" prompt="53° 20' 52.4436''" sqref="JM65458 TI65458 ADE65458 ANA65458 AWW65458 BGS65458 BQO65458 CAK65458 CKG65458 CUC65458 DDY65458 DNU65458 DXQ65458 EHM65458 ERI65458 FBE65458 FLA65458 FUW65458 GES65458 GOO65458 GYK65458 HIG65458 HSC65458 IBY65458 ILU65458 IVQ65458 JFM65458 JPI65458 JZE65458 KJA65458 KSW65458 LCS65458 LMO65458 LWK65458 MGG65458 MQC65458 MZY65458 NJU65458 NTQ65458 ODM65458 ONI65458 OXE65458 PHA65458 PQW65458 QAS65458 QKO65458 QUK65458 REG65458 ROC65458 RXY65458 SHU65458 SRQ65458 TBM65458 TLI65458 TVE65458 UFA65458 UOW65458 UYS65458 VIO65458 VSK65458 WCG65458 WMC65458 WVY65458 JM130994 TI130994 ADE130994 ANA130994 AWW130994 BGS130994 BQO130994 CAK130994 CKG130994 CUC130994 DDY130994 DNU130994 DXQ130994 EHM130994 ERI130994 FBE130994 FLA130994 FUW130994 GES130994 GOO130994 GYK130994 HIG130994 HSC130994 IBY130994 ILU130994 IVQ130994 JFM130994 JPI130994 JZE130994 KJA130994 KSW130994 LCS130994 LMO130994 LWK130994 MGG130994 MQC130994 MZY130994 NJU130994 NTQ130994 ODM130994 ONI130994 OXE130994 PHA130994 PQW130994 QAS130994 QKO130994 QUK130994 REG130994 ROC130994 RXY130994 SHU130994 SRQ130994 TBM130994 TLI130994 TVE130994 UFA130994 UOW130994 UYS130994 VIO130994 VSK130994 WCG130994 WMC130994 WVY130994 JM196530 TI196530 ADE196530 ANA196530 AWW196530 BGS196530 BQO196530 CAK196530 CKG196530 CUC196530 DDY196530 DNU196530 DXQ196530 EHM196530 ERI196530 FBE196530 FLA196530 FUW196530 GES196530 GOO196530 GYK196530 HIG196530 HSC196530 IBY196530 ILU196530 IVQ196530 JFM196530 JPI196530 JZE196530 KJA196530 KSW196530 LCS196530 LMO196530 LWK196530 MGG196530 MQC196530 MZY196530 NJU196530 NTQ196530 ODM196530 ONI196530 OXE196530 PHA196530 PQW196530 QAS196530 QKO196530 QUK196530 REG196530 ROC196530 RXY196530 SHU196530 SRQ196530 TBM196530 TLI196530 TVE196530 UFA196530 UOW196530 UYS196530 VIO196530 VSK196530 WCG196530 WMC196530 WVY196530 JM262066 TI262066 ADE262066 ANA262066 AWW262066 BGS262066 BQO262066 CAK262066 CKG262066 CUC262066 DDY262066 DNU262066 DXQ262066 EHM262066 ERI262066 FBE262066 FLA262066 FUW262066 GES262066 GOO262066 GYK262066 HIG262066 HSC262066 IBY262066 ILU262066 IVQ262066 JFM262066 JPI262066 JZE262066 KJA262066 KSW262066 LCS262066 LMO262066 LWK262066 MGG262066 MQC262066 MZY262066 NJU262066 NTQ262066 ODM262066 ONI262066 OXE262066 PHA262066 PQW262066 QAS262066 QKO262066 QUK262066 REG262066 ROC262066 RXY262066 SHU262066 SRQ262066 TBM262066 TLI262066 TVE262066 UFA262066 UOW262066 UYS262066 VIO262066 VSK262066 WCG262066 WMC262066 WVY262066 JM327602 TI327602 ADE327602 ANA327602 AWW327602 BGS327602 BQO327602 CAK327602 CKG327602 CUC327602 DDY327602 DNU327602 DXQ327602 EHM327602 ERI327602 FBE327602 FLA327602 FUW327602 GES327602 GOO327602 GYK327602 HIG327602 HSC327602 IBY327602 ILU327602 IVQ327602 JFM327602 JPI327602 JZE327602 KJA327602 KSW327602 LCS327602 LMO327602 LWK327602 MGG327602 MQC327602 MZY327602 NJU327602 NTQ327602 ODM327602 ONI327602 OXE327602 PHA327602 PQW327602 QAS327602 QKO327602 QUK327602 REG327602 ROC327602 RXY327602 SHU327602 SRQ327602 TBM327602 TLI327602 TVE327602 UFA327602 UOW327602 UYS327602 VIO327602 VSK327602 WCG327602 WMC327602 WVY327602 JM393138 TI393138 ADE393138 ANA393138 AWW393138 BGS393138 BQO393138 CAK393138 CKG393138 CUC393138 DDY393138 DNU393138 DXQ393138 EHM393138 ERI393138 FBE393138 FLA393138 FUW393138 GES393138 GOO393138 GYK393138 HIG393138 HSC393138 IBY393138 ILU393138 IVQ393138 JFM393138 JPI393138 JZE393138 KJA393138 KSW393138 LCS393138 LMO393138 LWK393138 MGG393138 MQC393138 MZY393138 NJU393138 NTQ393138 ODM393138 ONI393138 OXE393138 PHA393138 PQW393138 QAS393138 QKO393138 QUK393138 REG393138 ROC393138 RXY393138 SHU393138 SRQ393138 TBM393138 TLI393138 TVE393138 UFA393138 UOW393138 UYS393138 VIO393138 VSK393138 WCG393138 WMC393138 WVY393138 JM458674 TI458674 ADE458674 ANA458674 AWW458674 BGS458674 BQO458674 CAK458674 CKG458674 CUC458674 DDY458674 DNU458674 DXQ458674 EHM458674 ERI458674 FBE458674 FLA458674 FUW458674 GES458674 GOO458674 GYK458674 HIG458674 HSC458674 IBY458674 ILU458674 IVQ458674 JFM458674 JPI458674 JZE458674 KJA458674 KSW458674 LCS458674 LMO458674 LWK458674 MGG458674 MQC458674 MZY458674 NJU458674 NTQ458674 ODM458674 ONI458674 OXE458674 PHA458674 PQW458674 QAS458674 QKO458674 QUK458674 REG458674 ROC458674 RXY458674 SHU458674 SRQ458674 TBM458674 TLI458674 TVE458674 UFA458674 UOW458674 UYS458674 VIO458674 VSK458674 WCG458674 WMC458674 WVY458674 JM524210 TI524210 ADE524210 ANA524210 AWW524210 BGS524210 BQO524210 CAK524210 CKG524210 CUC524210 DDY524210 DNU524210 DXQ524210 EHM524210 ERI524210 FBE524210 FLA524210 FUW524210 GES524210 GOO524210 GYK524210 HIG524210 HSC524210 IBY524210 ILU524210 IVQ524210 JFM524210 JPI524210 JZE524210 KJA524210 KSW524210 LCS524210 LMO524210 LWK524210 MGG524210 MQC524210 MZY524210 NJU524210 NTQ524210 ODM524210 ONI524210 OXE524210 PHA524210 PQW524210 QAS524210 QKO524210 QUK524210 REG524210 ROC524210 RXY524210 SHU524210 SRQ524210 TBM524210 TLI524210 TVE524210 UFA524210 UOW524210 UYS524210 VIO524210 VSK524210 WCG524210 WMC524210 WVY524210 JM589746 TI589746 ADE589746 ANA589746 AWW589746 BGS589746 BQO589746 CAK589746 CKG589746 CUC589746 DDY589746 DNU589746 DXQ589746 EHM589746 ERI589746 FBE589746 FLA589746 FUW589746 GES589746 GOO589746 GYK589746 HIG589746 HSC589746 IBY589746 ILU589746 IVQ589746 JFM589746 JPI589746 JZE589746 KJA589746 KSW589746 LCS589746 LMO589746 LWK589746 MGG589746 MQC589746 MZY589746 NJU589746 NTQ589746 ODM589746 ONI589746 OXE589746 PHA589746 PQW589746 QAS589746 QKO589746 QUK589746 REG589746 ROC589746 RXY589746 SHU589746 SRQ589746 TBM589746 TLI589746 TVE589746 UFA589746 UOW589746 UYS589746 VIO589746 VSK589746 WCG589746 WMC589746 WVY589746 JM655282 TI655282 ADE655282 ANA655282 AWW655282 BGS655282 BQO655282 CAK655282 CKG655282 CUC655282 DDY655282 DNU655282 DXQ655282 EHM655282 ERI655282 FBE655282 FLA655282 FUW655282 GES655282 GOO655282 GYK655282 HIG655282 HSC655282 IBY655282 ILU655282 IVQ655282 JFM655282 JPI655282 JZE655282 KJA655282 KSW655282 LCS655282 LMO655282 LWK655282 MGG655282 MQC655282 MZY655282 NJU655282 NTQ655282 ODM655282 ONI655282 OXE655282 PHA655282 PQW655282 QAS655282 QKO655282 QUK655282 REG655282 ROC655282 RXY655282 SHU655282 SRQ655282 TBM655282 TLI655282 TVE655282 UFA655282 UOW655282 UYS655282 VIO655282 VSK655282 WCG655282 WMC655282 WVY655282 JM720818 TI720818 ADE720818 ANA720818 AWW720818 BGS720818 BQO720818 CAK720818 CKG720818 CUC720818 DDY720818 DNU720818 DXQ720818 EHM720818 ERI720818 FBE720818 FLA720818 FUW720818 GES720818 GOO720818 GYK720818 HIG720818 HSC720818 IBY720818 ILU720818 IVQ720818 JFM720818 JPI720818 JZE720818 KJA720818 KSW720818 LCS720818 LMO720818 LWK720818 MGG720818 MQC720818 MZY720818 NJU720818 NTQ720818 ODM720818 ONI720818 OXE720818 PHA720818 PQW720818 QAS720818 QKO720818 QUK720818 REG720818 ROC720818 RXY720818 SHU720818 SRQ720818 TBM720818 TLI720818 TVE720818 UFA720818 UOW720818 UYS720818 VIO720818 VSK720818 WCG720818 WMC720818 WVY720818 JM786354 TI786354 ADE786354 ANA786354 AWW786354 BGS786354 BQO786354 CAK786354 CKG786354 CUC786354 DDY786354 DNU786354 DXQ786354 EHM786354 ERI786354 FBE786354 FLA786354 FUW786354 GES786354 GOO786354 GYK786354 HIG786354 HSC786354 IBY786354 ILU786354 IVQ786354 JFM786354 JPI786354 JZE786354 KJA786354 KSW786354 LCS786354 LMO786354 LWK786354 MGG786354 MQC786354 MZY786354 NJU786354 NTQ786354 ODM786354 ONI786354 OXE786354 PHA786354 PQW786354 QAS786354 QKO786354 QUK786354 REG786354 ROC786354 RXY786354 SHU786354 SRQ786354 TBM786354 TLI786354 TVE786354 UFA786354 UOW786354 UYS786354 VIO786354 VSK786354 WCG786354 WMC786354 WVY786354 JM851890 TI851890 ADE851890 ANA851890 AWW851890 BGS851890 BQO851890 CAK851890 CKG851890 CUC851890 DDY851890 DNU851890 DXQ851890 EHM851890 ERI851890 FBE851890 FLA851890 FUW851890 GES851890 GOO851890 GYK851890 HIG851890 HSC851890 IBY851890 ILU851890 IVQ851890 JFM851890 JPI851890 JZE851890 KJA851890 KSW851890 LCS851890 LMO851890 LWK851890 MGG851890 MQC851890 MZY851890 NJU851890 NTQ851890 ODM851890 ONI851890 OXE851890 PHA851890 PQW851890 QAS851890 QKO851890 QUK851890 REG851890 ROC851890 RXY851890 SHU851890 SRQ851890 TBM851890 TLI851890 TVE851890 UFA851890 UOW851890 UYS851890 VIO851890 VSK851890 WCG851890 WMC851890 WVY851890 JM917426 TI917426 ADE917426 ANA917426 AWW917426 BGS917426 BQO917426 CAK917426 CKG917426 CUC917426 DDY917426 DNU917426 DXQ917426 EHM917426 ERI917426 FBE917426 FLA917426 FUW917426 GES917426 GOO917426 GYK917426 HIG917426 HSC917426 IBY917426 ILU917426 IVQ917426 JFM917426 JPI917426 JZE917426 KJA917426 KSW917426 LCS917426 LMO917426 LWK917426 MGG917426 MQC917426 MZY917426 NJU917426 NTQ917426 ODM917426 ONI917426 OXE917426 PHA917426 PQW917426 QAS917426 QKO917426 QUK917426 REG917426 ROC917426 RXY917426 SHU917426 SRQ917426 TBM917426 TLI917426 TVE917426 UFA917426 UOW917426 UYS917426 VIO917426 VSK917426 WCG917426 WMC917426 WVY917426 JM982962 TI982962 ADE982962 ANA982962 AWW982962 BGS982962 BQO982962 CAK982962 CKG982962 CUC982962 DDY982962 DNU982962 DXQ982962 EHM982962 ERI982962 FBE982962 FLA982962 FUW982962 GES982962 GOO982962 GYK982962 HIG982962 HSC982962 IBY982962 ILU982962 IVQ982962 JFM982962 JPI982962 JZE982962 KJA982962 KSW982962 LCS982962 LMO982962 LWK982962 MGG982962 MQC982962 MZY982962 NJU982962 NTQ982962 ODM982962 ONI982962 OXE982962 PHA982962 PQW982962 QAS982962 QKO982962 QUK982962 REG982962 ROC982962 RXY982962 SHU982962 SRQ982962 TBM982962 TLI982962 TVE982962 UFA982962 UOW982962 UYS982962 VIO982962 VSK982962 WCG982962 WMC982962 WVY982962"/>
    <dataValidation allowBlank="1" showInputMessage="1" showErrorMessage="1" prompt="6° 17' 40.1424''" sqref="JO65458 TK65458 ADG65458 ANC65458 AWY65458 BGU65458 BQQ65458 CAM65458 CKI65458 CUE65458 DEA65458 DNW65458 DXS65458 EHO65458 ERK65458 FBG65458 FLC65458 FUY65458 GEU65458 GOQ65458 GYM65458 HII65458 HSE65458 ICA65458 ILW65458 IVS65458 JFO65458 JPK65458 JZG65458 KJC65458 KSY65458 LCU65458 LMQ65458 LWM65458 MGI65458 MQE65458 NAA65458 NJW65458 NTS65458 ODO65458 ONK65458 OXG65458 PHC65458 PQY65458 QAU65458 QKQ65458 QUM65458 REI65458 ROE65458 RYA65458 SHW65458 SRS65458 TBO65458 TLK65458 TVG65458 UFC65458 UOY65458 UYU65458 VIQ65458 VSM65458 WCI65458 WME65458 WWA65458 JO130994 TK130994 ADG130994 ANC130994 AWY130994 BGU130994 BQQ130994 CAM130994 CKI130994 CUE130994 DEA130994 DNW130994 DXS130994 EHO130994 ERK130994 FBG130994 FLC130994 FUY130994 GEU130994 GOQ130994 GYM130994 HII130994 HSE130994 ICA130994 ILW130994 IVS130994 JFO130994 JPK130994 JZG130994 KJC130994 KSY130994 LCU130994 LMQ130994 LWM130994 MGI130994 MQE130994 NAA130994 NJW130994 NTS130994 ODO130994 ONK130994 OXG130994 PHC130994 PQY130994 QAU130994 QKQ130994 QUM130994 REI130994 ROE130994 RYA130994 SHW130994 SRS130994 TBO130994 TLK130994 TVG130994 UFC130994 UOY130994 UYU130994 VIQ130994 VSM130994 WCI130994 WME130994 WWA130994 JO196530 TK196530 ADG196530 ANC196530 AWY196530 BGU196530 BQQ196530 CAM196530 CKI196530 CUE196530 DEA196530 DNW196530 DXS196530 EHO196530 ERK196530 FBG196530 FLC196530 FUY196530 GEU196530 GOQ196530 GYM196530 HII196530 HSE196530 ICA196530 ILW196530 IVS196530 JFO196530 JPK196530 JZG196530 KJC196530 KSY196530 LCU196530 LMQ196530 LWM196530 MGI196530 MQE196530 NAA196530 NJW196530 NTS196530 ODO196530 ONK196530 OXG196530 PHC196530 PQY196530 QAU196530 QKQ196530 QUM196530 REI196530 ROE196530 RYA196530 SHW196530 SRS196530 TBO196530 TLK196530 TVG196530 UFC196530 UOY196530 UYU196530 VIQ196530 VSM196530 WCI196530 WME196530 WWA196530 JO262066 TK262066 ADG262066 ANC262066 AWY262066 BGU262066 BQQ262066 CAM262066 CKI262066 CUE262066 DEA262066 DNW262066 DXS262066 EHO262066 ERK262066 FBG262066 FLC262066 FUY262066 GEU262066 GOQ262066 GYM262066 HII262066 HSE262066 ICA262066 ILW262066 IVS262066 JFO262066 JPK262066 JZG262066 KJC262066 KSY262066 LCU262066 LMQ262066 LWM262066 MGI262066 MQE262066 NAA262066 NJW262066 NTS262066 ODO262066 ONK262066 OXG262066 PHC262066 PQY262066 QAU262066 QKQ262066 QUM262066 REI262066 ROE262066 RYA262066 SHW262066 SRS262066 TBO262066 TLK262066 TVG262066 UFC262066 UOY262066 UYU262066 VIQ262066 VSM262066 WCI262066 WME262066 WWA262066 JO327602 TK327602 ADG327602 ANC327602 AWY327602 BGU327602 BQQ327602 CAM327602 CKI327602 CUE327602 DEA327602 DNW327602 DXS327602 EHO327602 ERK327602 FBG327602 FLC327602 FUY327602 GEU327602 GOQ327602 GYM327602 HII327602 HSE327602 ICA327602 ILW327602 IVS327602 JFO327602 JPK327602 JZG327602 KJC327602 KSY327602 LCU327602 LMQ327602 LWM327602 MGI327602 MQE327602 NAA327602 NJW327602 NTS327602 ODO327602 ONK327602 OXG327602 PHC327602 PQY327602 QAU327602 QKQ327602 QUM327602 REI327602 ROE327602 RYA327602 SHW327602 SRS327602 TBO327602 TLK327602 TVG327602 UFC327602 UOY327602 UYU327602 VIQ327602 VSM327602 WCI327602 WME327602 WWA327602 JO393138 TK393138 ADG393138 ANC393138 AWY393138 BGU393138 BQQ393138 CAM393138 CKI393138 CUE393138 DEA393138 DNW393138 DXS393138 EHO393138 ERK393138 FBG393138 FLC393138 FUY393138 GEU393138 GOQ393138 GYM393138 HII393138 HSE393138 ICA393138 ILW393138 IVS393138 JFO393138 JPK393138 JZG393138 KJC393138 KSY393138 LCU393138 LMQ393138 LWM393138 MGI393138 MQE393138 NAA393138 NJW393138 NTS393138 ODO393138 ONK393138 OXG393138 PHC393138 PQY393138 QAU393138 QKQ393138 QUM393138 REI393138 ROE393138 RYA393138 SHW393138 SRS393138 TBO393138 TLK393138 TVG393138 UFC393138 UOY393138 UYU393138 VIQ393138 VSM393138 WCI393138 WME393138 WWA393138 JO458674 TK458674 ADG458674 ANC458674 AWY458674 BGU458674 BQQ458674 CAM458674 CKI458674 CUE458674 DEA458674 DNW458674 DXS458674 EHO458674 ERK458674 FBG458674 FLC458674 FUY458674 GEU458674 GOQ458674 GYM458674 HII458674 HSE458674 ICA458674 ILW458674 IVS458674 JFO458674 JPK458674 JZG458674 KJC458674 KSY458674 LCU458674 LMQ458674 LWM458674 MGI458674 MQE458674 NAA458674 NJW458674 NTS458674 ODO458674 ONK458674 OXG458674 PHC458674 PQY458674 QAU458674 QKQ458674 QUM458674 REI458674 ROE458674 RYA458674 SHW458674 SRS458674 TBO458674 TLK458674 TVG458674 UFC458674 UOY458674 UYU458674 VIQ458674 VSM458674 WCI458674 WME458674 WWA458674 JO524210 TK524210 ADG524210 ANC524210 AWY524210 BGU524210 BQQ524210 CAM524210 CKI524210 CUE524210 DEA524210 DNW524210 DXS524210 EHO524210 ERK524210 FBG524210 FLC524210 FUY524210 GEU524210 GOQ524210 GYM524210 HII524210 HSE524210 ICA524210 ILW524210 IVS524210 JFO524210 JPK524210 JZG524210 KJC524210 KSY524210 LCU524210 LMQ524210 LWM524210 MGI524210 MQE524210 NAA524210 NJW524210 NTS524210 ODO524210 ONK524210 OXG524210 PHC524210 PQY524210 QAU524210 QKQ524210 QUM524210 REI524210 ROE524210 RYA524210 SHW524210 SRS524210 TBO524210 TLK524210 TVG524210 UFC524210 UOY524210 UYU524210 VIQ524210 VSM524210 WCI524210 WME524210 WWA524210 JO589746 TK589746 ADG589746 ANC589746 AWY589746 BGU589746 BQQ589746 CAM589746 CKI589746 CUE589746 DEA589746 DNW589746 DXS589746 EHO589746 ERK589746 FBG589746 FLC589746 FUY589746 GEU589746 GOQ589746 GYM589746 HII589746 HSE589746 ICA589746 ILW589746 IVS589746 JFO589746 JPK589746 JZG589746 KJC589746 KSY589746 LCU589746 LMQ589746 LWM589746 MGI589746 MQE589746 NAA589746 NJW589746 NTS589746 ODO589746 ONK589746 OXG589746 PHC589746 PQY589746 QAU589746 QKQ589746 QUM589746 REI589746 ROE589746 RYA589746 SHW589746 SRS589746 TBO589746 TLK589746 TVG589746 UFC589746 UOY589746 UYU589746 VIQ589746 VSM589746 WCI589746 WME589746 WWA589746 JO655282 TK655282 ADG655282 ANC655282 AWY655282 BGU655282 BQQ655282 CAM655282 CKI655282 CUE655282 DEA655282 DNW655282 DXS655282 EHO655282 ERK655282 FBG655282 FLC655282 FUY655282 GEU655282 GOQ655282 GYM655282 HII655282 HSE655282 ICA655282 ILW655282 IVS655282 JFO655282 JPK655282 JZG655282 KJC655282 KSY655282 LCU655282 LMQ655282 LWM655282 MGI655282 MQE655282 NAA655282 NJW655282 NTS655282 ODO655282 ONK655282 OXG655282 PHC655282 PQY655282 QAU655282 QKQ655282 QUM655282 REI655282 ROE655282 RYA655282 SHW655282 SRS655282 TBO655282 TLK655282 TVG655282 UFC655282 UOY655282 UYU655282 VIQ655282 VSM655282 WCI655282 WME655282 WWA655282 JO720818 TK720818 ADG720818 ANC720818 AWY720818 BGU720818 BQQ720818 CAM720818 CKI720818 CUE720818 DEA720818 DNW720818 DXS720818 EHO720818 ERK720818 FBG720818 FLC720818 FUY720818 GEU720818 GOQ720818 GYM720818 HII720818 HSE720818 ICA720818 ILW720818 IVS720818 JFO720818 JPK720818 JZG720818 KJC720818 KSY720818 LCU720818 LMQ720818 LWM720818 MGI720818 MQE720818 NAA720818 NJW720818 NTS720818 ODO720818 ONK720818 OXG720818 PHC720818 PQY720818 QAU720818 QKQ720818 QUM720818 REI720818 ROE720818 RYA720818 SHW720818 SRS720818 TBO720818 TLK720818 TVG720818 UFC720818 UOY720818 UYU720818 VIQ720818 VSM720818 WCI720818 WME720818 WWA720818 JO786354 TK786354 ADG786354 ANC786354 AWY786354 BGU786354 BQQ786354 CAM786354 CKI786354 CUE786354 DEA786354 DNW786354 DXS786354 EHO786354 ERK786354 FBG786354 FLC786354 FUY786354 GEU786354 GOQ786354 GYM786354 HII786354 HSE786354 ICA786354 ILW786354 IVS786354 JFO786354 JPK786354 JZG786354 KJC786354 KSY786354 LCU786354 LMQ786354 LWM786354 MGI786354 MQE786354 NAA786354 NJW786354 NTS786354 ODO786354 ONK786354 OXG786354 PHC786354 PQY786354 QAU786354 QKQ786354 QUM786354 REI786354 ROE786354 RYA786354 SHW786354 SRS786354 TBO786354 TLK786354 TVG786354 UFC786354 UOY786354 UYU786354 VIQ786354 VSM786354 WCI786354 WME786354 WWA786354 JO851890 TK851890 ADG851890 ANC851890 AWY851890 BGU851890 BQQ851890 CAM851890 CKI851890 CUE851890 DEA851890 DNW851890 DXS851890 EHO851890 ERK851890 FBG851890 FLC851890 FUY851890 GEU851890 GOQ851890 GYM851890 HII851890 HSE851890 ICA851890 ILW851890 IVS851890 JFO851890 JPK851890 JZG851890 KJC851890 KSY851890 LCU851890 LMQ851890 LWM851890 MGI851890 MQE851890 NAA851890 NJW851890 NTS851890 ODO851890 ONK851890 OXG851890 PHC851890 PQY851890 QAU851890 QKQ851890 QUM851890 REI851890 ROE851890 RYA851890 SHW851890 SRS851890 TBO851890 TLK851890 TVG851890 UFC851890 UOY851890 UYU851890 VIQ851890 VSM851890 WCI851890 WME851890 WWA851890 JO917426 TK917426 ADG917426 ANC917426 AWY917426 BGU917426 BQQ917426 CAM917426 CKI917426 CUE917426 DEA917426 DNW917426 DXS917426 EHO917426 ERK917426 FBG917426 FLC917426 FUY917426 GEU917426 GOQ917426 GYM917426 HII917426 HSE917426 ICA917426 ILW917426 IVS917426 JFO917426 JPK917426 JZG917426 KJC917426 KSY917426 LCU917426 LMQ917426 LWM917426 MGI917426 MQE917426 NAA917426 NJW917426 NTS917426 ODO917426 ONK917426 OXG917426 PHC917426 PQY917426 QAU917426 QKQ917426 QUM917426 REI917426 ROE917426 RYA917426 SHW917426 SRS917426 TBO917426 TLK917426 TVG917426 UFC917426 UOY917426 UYU917426 VIQ917426 VSM917426 WCI917426 WME917426 WWA917426 JO982962 TK982962 ADG982962 ANC982962 AWY982962 BGU982962 BQQ982962 CAM982962 CKI982962 CUE982962 DEA982962 DNW982962 DXS982962 EHO982962 ERK982962 FBG982962 FLC982962 FUY982962 GEU982962 GOQ982962 GYM982962 HII982962 HSE982962 ICA982962 ILW982962 IVS982962 JFO982962 JPK982962 JZG982962 KJC982962 KSY982962 LCU982962 LMQ982962 LWM982962 MGI982962 MQE982962 NAA982962 NJW982962 NTS982962 ODO982962 ONK982962 OXG982962 PHC982962 PQY982962 QAU982962 QKQ982962 QUM982962 REI982962 ROE982962 RYA982962 SHW982962 SRS982962 TBO982962 TLK982962 TVG982962 UFC982962 UOY982962 UYU982962 VIQ982962 VSM982962 WCI982962 WME982962 WWA982962"/>
  </dataValidations>
  <pageMargins left="0.25" right="0.25" top="0.75" bottom="0.75" header="0.3" footer="0.3"/>
  <pageSetup paperSize="8"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
  <sheetViews>
    <sheetView view="pageLayout" zoomScale="80" zoomScaleNormal="100" zoomScalePageLayoutView="80" workbookViewId="0">
      <selection activeCell="B2" sqref="B2"/>
    </sheetView>
  </sheetViews>
  <sheetFormatPr defaultRowHeight="15" customHeight="1" x14ac:dyDescent="0.3"/>
  <cols>
    <col min="1" max="1" width="2.6640625" style="2" customWidth="1"/>
    <col min="2" max="2" width="5.33203125" style="2" customWidth="1"/>
    <col min="3" max="3" width="13.88671875" style="2" customWidth="1"/>
    <col min="4" max="25" width="5.33203125" style="2" customWidth="1"/>
    <col min="26" max="26" width="2.5546875" style="2" customWidth="1"/>
    <col min="27" max="276" width="7.6640625" style="2" customWidth="1"/>
    <col min="277" max="277" width="14.33203125" style="2" customWidth="1"/>
    <col min="278" max="278" width="4" style="2" customWidth="1"/>
    <col min="279" max="279" width="14.33203125" style="2" customWidth="1"/>
    <col min="280" max="280" width="4" style="2" customWidth="1"/>
    <col min="281" max="532" width="7.6640625" style="2" customWidth="1"/>
    <col min="533" max="533" width="14.33203125" style="2" customWidth="1"/>
    <col min="534" max="534" width="4" style="2" customWidth="1"/>
    <col min="535" max="535" width="14.33203125" style="2" customWidth="1"/>
    <col min="536" max="536" width="4" style="2" customWidth="1"/>
    <col min="537" max="788" width="7.6640625" style="2" customWidth="1"/>
    <col min="789" max="789" width="14.33203125" style="2" customWidth="1"/>
    <col min="790" max="790" width="4" style="2" customWidth="1"/>
    <col min="791" max="791" width="14.33203125" style="2" customWidth="1"/>
    <col min="792" max="792" width="4" style="2" customWidth="1"/>
    <col min="793" max="1044" width="7.6640625" style="2" customWidth="1"/>
    <col min="1045" max="1045" width="14.33203125" style="2" customWidth="1"/>
    <col min="1046" max="1046" width="4" style="2" customWidth="1"/>
    <col min="1047" max="1047" width="14.33203125" style="2" customWidth="1"/>
    <col min="1048" max="1048" width="4" style="2" customWidth="1"/>
    <col min="1049" max="1300" width="7.6640625" style="2" customWidth="1"/>
    <col min="1301" max="1301" width="14.33203125" style="2" customWidth="1"/>
    <col min="1302" max="1302" width="4" style="2" customWidth="1"/>
    <col min="1303" max="1303" width="14.33203125" style="2" customWidth="1"/>
    <col min="1304" max="1304" width="4" style="2" customWidth="1"/>
    <col min="1305" max="1556" width="7.6640625" style="2" customWidth="1"/>
    <col min="1557" max="1557" width="14.33203125" style="2" customWidth="1"/>
    <col min="1558" max="1558" width="4" style="2" customWidth="1"/>
    <col min="1559" max="1559" width="14.33203125" style="2" customWidth="1"/>
    <col min="1560" max="1560" width="4" style="2" customWidth="1"/>
    <col min="1561" max="1812" width="7.6640625" style="2" customWidth="1"/>
    <col min="1813" max="1813" width="14.33203125" style="2" customWidth="1"/>
    <col min="1814" max="1814" width="4" style="2" customWidth="1"/>
    <col min="1815" max="1815" width="14.33203125" style="2" customWidth="1"/>
    <col min="1816" max="1816" width="4" style="2" customWidth="1"/>
    <col min="1817" max="2068" width="7.6640625" style="2" customWidth="1"/>
    <col min="2069" max="2069" width="14.33203125" style="2" customWidth="1"/>
    <col min="2070" max="2070" width="4" style="2" customWidth="1"/>
    <col min="2071" max="2071" width="14.33203125" style="2" customWidth="1"/>
    <col min="2072" max="2072" width="4" style="2" customWidth="1"/>
    <col min="2073" max="2324" width="7.6640625" style="2" customWidth="1"/>
    <col min="2325" max="2325" width="14.33203125" style="2" customWidth="1"/>
    <col min="2326" max="2326" width="4" style="2" customWidth="1"/>
    <col min="2327" max="2327" width="14.33203125" style="2" customWidth="1"/>
    <col min="2328" max="2328" width="4" style="2" customWidth="1"/>
    <col min="2329" max="2580" width="7.6640625" style="2" customWidth="1"/>
    <col min="2581" max="2581" width="14.33203125" style="2" customWidth="1"/>
    <col min="2582" max="2582" width="4" style="2" customWidth="1"/>
    <col min="2583" max="2583" width="14.33203125" style="2" customWidth="1"/>
    <col min="2584" max="2584" width="4" style="2" customWidth="1"/>
    <col min="2585" max="2836" width="7.6640625" style="2" customWidth="1"/>
    <col min="2837" max="2837" width="14.33203125" style="2" customWidth="1"/>
    <col min="2838" max="2838" width="4" style="2" customWidth="1"/>
    <col min="2839" max="2839" width="14.33203125" style="2" customWidth="1"/>
    <col min="2840" max="2840" width="4" style="2" customWidth="1"/>
    <col min="2841" max="3092" width="7.6640625" style="2" customWidth="1"/>
    <col min="3093" max="3093" width="14.33203125" style="2" customWidth="1"/>
    <col min="3094" max="3094" width="4" style="2" customWidth="1"/>
    <col min="3095" max="3095" width="14.33203125" style="2" customWidth="1"/>
    <col min="3096" max="3096" width="4" style="2" customWidth="1"/>
    <col min="3097" max="3348" width="7.6640625" style="2" customWidth="1"/>
    <col min="3349" max="3349" width="14.33203125" style="2" customWidth="1"/>
    <col min="3350" max="3350" width="4" style="2" customWidth="1"/>
    <col min="3351" max="3351" width="14.33203125" style="2" customWidth="1"/>
    <col min="3352" max="3352" width="4" style="2" customWidth="1"/>
    <col min="3353" max="3604" width="7.6640625" style="2" customWidth="1"/>
    <col min="3605" max="3605" width="14.33203125" style="2" customWidth="1"/>
    <col min="3606" max="3606" width="4" style="2" customWidth="1"/>
    <col min="3607" max="3607" width="14.33203125" style="2" customWidth="1"/>
    <col min="3608" max="3608" width="4" style="2" customWidth="1"/>
    <col min="3609" max="3860" width="7.6640625" style="2" customWidth="1"/>
    <col min="3861" max="3861" width="14.33203125" style="2" customWidth="1"/>
    <col min="3862" max="3862" width="4" style="2" customWidth="1"/>
    <col min="3863" max="3863" width="14.33203125" style="2" customWidth="1"/>
    <col min="3864" max="3864" width="4" style="2" customWidth="1"/>
    <col min="3865" max="4116" width="7.6640625" style="2" customWidth="1"/>
    <col min="4117" max="4117" width="14.33203125" style="2" customWidth="1"/>
    <col min="4118" max="4118" width="4" style="2" customWidth="1"/>
    <col min="4119" max="4119" width="14.33203125" style="2" customWidth="1"/>
    <col min="4120" max="4120" width="4" style="2" customWidth="1"/>
    <col min="4121" max="4372" width="7.6640625" style="2" customWidth="1"/>
    <col min="4373" max="4373" width="14.33203125" style="2" customWidth="1"/>
    <col min="4374" max="4374" width="4" style="2" customWidth="1"/>
    <col min="4375" max="4375" width="14.33203125" style="2" customWidth="1"/>
    <col min="4376" max="4376" width="4" style="2" customWidth="1"/>
    <col min="4377" max="4628" width="7.6640625" style="2" customWidth="1"/>
    <col min="4629" max="4629" width="14.33203125" style="2" customWidth="1"/>
    <col min="4630" max="4630" width="4" style="2" customWidth="1"/>
    <col min="4631" max="4631" width="14.33203125" style="2" customWidth="1"/>
    <col min="4632" max="4632" width="4" style="2" customWidth="1"/>
    <col min="4633" max="4884" width="7.6640625" style="2" customWidth="1"/>
    <col min="4885" max="4885" width="14.33203125" style="2" customWidth="1"/>
    <col min="4886" max="4886" width="4" style="2" customWidth="1"/>
    <col min="4887" max="4887" width="14.33203125" style="2" customWidth="1"/>
    <col min="4888" max="4888" width="4" style="2" customWidth="1"/>
    <col min="4889" max="5140" width="7.6640625" style="2" customWidth="1"/>
    <col min="5141" max="5141" width="14.33203125" style="2" customWidth="1"/>
    <col min="5142" max="5142" width="4" style="2" customWidth="1"/>
    <col min="5143" max="5143" width="14.33203125" style="2" customWidth="1"/>
    <col min="5144" max="5144" width="4" style="2" customWidth="1"/>
    <col min="5145" max="5396" width="7.6640625" style="2" customWidth="1"/>
    <col min="5397" max="5397" width="14.33203125" style="2" customWidth="1"/>
    <col min="5398" max="5398" width="4" style="2" customWidth="1"/>
    <col min="5399" max="5399" width="14.33203125" style="2" customWidth="1"/>
    <col min="5400" max="5400" width="4" style="2" customWidth="1"/>
    <col min="5401" max="5652" width="7.6640625" style="2" customWidth="1"/>
    <col min="5653" max="5653" width="14.33203125" style="2" customWidth="1"/>
    <col min="5654" max="5654" width="4" style="2" customWidth="1"/>
    <col min="5655" max="5655" width="14.33203125" style="2" customWidth="1"/>
    <col min="5656" max="5656" width="4" style="2" customWidth="1"/>
    <col min="5657" max="5908" width="7.6640625" style="2" customWidth="1"/>
    <col min="5909" max="5909" width="14.33203125" style="2" customWidth="1"/>
    <col min="5910" max="5910" width="4" style="2" customWidth="1"/>
    <col min="5911" max="5911" width="14.33203125" style="2" customWidth="1"/>
    <col min="5912" max="5912" width="4" style="2" customWidth="1"/>
    <col min="5913" max="6164" width="7.6640625" style="2" customWidth="1"/>
    <col min="6165" max="6165" width="14.33203125" style="2" customWidth="1"/>
    <col min="6166" max="6166" width="4" style="2" customWidth="1"/>
    <col min="6167" max="6167" width="14.33203125" style="2" customWidth="1"/>
    <col min="6168" max="6168" width="4" style="2" customWidth="1"/>
    <col min="6169" max="6420" width="7.6640625" style="2" customWidth="1"/>
    <col min="6421" max="6421" width="14.33203125" style="2" customWidth="1"/>
    <col min="6422" max="6422" width="4" style="2" customWidth="1"/>
    <col min="6423" max="6423" width="14.33203125" style="2" customWidth="1"/>
    <col min="6424" max="6424" width="4" style="2" customWidth="1"/>
    <col min="6425" max="6676" width="7.6640625" style="2" customWidth="1"/>
    <col min="6677" max="6677" width="14.33203125" style="2" customWidth="1"/>
    <col min="6678" max="6678" width="4" style="2" customWidth="1"/>
    <col min="6679" max="6679" width="14.33203125" style="2" customWidth="1"/>
    <col min="6680" max="6680" width="4" style="2" customWidth="1"/>
    <col min="6681" max="6932" width="7.6640625" style="2" customWidth="1"/>
    <col min="6933" max="6933" width="14.33203125" style="2" customWidth="1"/>
    <col min="6934" max="6934" width="4" style="2" customWidth="1"/>
    <col min="6935" max="6935" width="14.33203125" style="2" customWidth="1"/>
    <col min="6936" max="6936" width="4" style="2" customWidth="1"/>
    <col min="6937" max="7188" width="7.6640625" style="2" customWidth="1"/>
    <col min="7189" max="7189" width="14.33203125" style="2" customWidth="1"/>
    <col min="7190" max="7190" width="4" style="2" customWidth="1"/>
    <col min="7191" max="7191" width="14.33203125" style="2" customWidth="1"/>
    <col min="7192" max="7192" width="4" style="2" customWidth="1"/>
    <col min="7193" max="7444" width="7.6640625" style="2" customWidth="1"/>
    <col min="7445" max="7445" width="14.33203125" style="2" customWidth="1"/>
    <col min="7446" max="7446" width="4" style="2" customWidth="1"/>
    <col min="7447" max="7447" width="14.33203125" style="2" customWidth="1"/>
    <col min="7448" max="7448" width="4" style="2" customWidth="1"/>
    <col min="7449" max="7700" width="7.6640625" style="2" customWidth="1"/>
    <col min="7701" max="7701" width="14.33203125" style="2" customWidth="1"/>
    <col min="7702" max="7702" width="4" style="2" customWidth="1"/>
    <col min="7703" max="7703" width="14.33203125" style="2" customWidth="1"/>
    <col min="7704" max="7704" width="4" style="2" customWidth="1"/>
    <col min="7705" max="7956" width="7.6640625" style="2" customWidth="1"/>
    <col min="7957" max="7957" width="14.33203125" style="2" customWidth="1"/>
    <col min="7958" max="7958" width="4" style="2" customWidth="1"/>
    <col min="7959" max="7959" width="14.33203125" style="2" customWidth="1"/>
    <col min="7960" max="7960" width="4" style="2" customWidth="1"/>
    <col min="7961" max="8212" width="7.6640625" style="2" customWidth="1"/>
    <col min="8213" max="8213" width="14.33203125" style="2" customWidth="1"/>
    <col min="8214" max="8214" width="4" style="2" customWidth="1"/>
    <col min="8215" max="8215" width="14.33203125" style="2" customWidth="1"/>
    <col min="8216" max="8216" width="4" style="2" customWidth="1"/>
    <col min="8217" max="8468" width="7.6640625" style="2" customWidth="1"/>
    <col min="8469" max="8469" width="14.33203125" style="2" customWidth="1"/>
    <col min="8470" max="8470" width="4" style="2" customWidth="1"/>
    <col min="8471" max="8471" width="14.33203125" style="2" customWidth="1"/>
    <col min="8472" max="8472" width="4" style="2" customWidth="1"/>
    <col min="8473" max="8724" width="7.6640625" style="2" customWidth="1"/>
    <col min="8725" max="8725" width="14.33203125" style="2" customWidth="1"/>
    <col min="8726" max="8726" width="4" style="2" customWidth="1"/>
    <col min="8727" max="8727" width="14.33203125" style="2" customWidth="1"/>
    <col min="8728" max="8728" width="4" style="2" customWidth="1"/>
    <col min="8729" max="8980" width="7.6640625" style="2" customWidth="1"/>
    <col min="8981" max="8981" width="14.33203125" style="2" customWidth="1"/>
    <col min="8982" max="8982" width="4" style="2" customWidth="1"/>
    <col min="8983" max="8983" width="14.33203125" style="2" customWidth="1"/>
    <col min="8984" max="8984" width="4" style="2" customWidth="1"/>
    <col min="8985" max="9236" width="7.6640625" style="2" customWidth="1"/>
    <col min="9237" max="9237" width="14.33203125" style="2" customWidth="1"/>
    <col min="9238" max="9238" width="4" style="2" customWidth="1"/>
    <col min="9239" max="9239" width="14.33203125" style="2" customWidth="1"/>
    <col min="9240" max="9240" width="4" style="2" customWidth="1"/>
    <col min="9241" max="9492" width="7.6640625" style="2" customWidth="1"/>
    <col min="9493" max="9493" width="14.33203125" style="2" customWidth="1"/>
    <col min="9494" max="9494" width="4" style="2" customWidth="1"/>
    <col min="9495" max="9495" width="14.33203125" style="2" customWidth="1"/>
    <col min="9496" max="9496" width="4" style="2" customWidth="1"/>
    <col min="9497" max="9748" width="7.6640625" style="2" customWidth="1"/>
    <col min="9749" max="9749" width="14.33203125" style="2" customWidth="1"/>
    <col min="9750" max="9750" width="4" style="2" customWidth="1"/>
    <col min="9751" max="9751" width="14.33203125" style="2" customWidth="1"/>
    <col min="9752" max="9752" width="4" style="2" customWidth="1"/>
    <col min="9753" max="10004" width="7.6640625" style="2" customWidth="1"/>
    <col min="10005" max="10005" width="14.33203125" style="2" customWidth="1"/>
    <col min="10006" max="10006" width="4" style="2" customWidth="1"/>
    <col min="10007" max="10007" width="14.33203125" style="2" customWidth="1"/>
    <col min="10008" max="10008" width="4" style="2" customWidth="1"/>
    <col min="10009" max="10260" width="7.6640625" style="2" customWidth="1"/>
    <col min="10261" max="10261" width="14.33203125" style="2" customWidth="1"/>
    <col min="10262" max="10262" width="4" style="2" customWidth="1"/>
    <col min="10263" max="10263" width="14.33203125" style="2" customWidth="1"/>
    <col min="10264" max="10264" width="4" style="2" customWidth="1"/>
    <col min="10265" max="10516" width="7.6640625" style="2" customWidth="1"/>
    <col min="10517" max="10517" width="14.33203125" style="2" customWidth="1"/>
    <col min="10518" max="10518" width="4" style="2" customWidth="1"/>
    <col min="10519" max="10519" width="14.33203125" style="2" customWidth="1"/>
    <col min="10520" max="10520" width="4" style="2" customWidth="1"/>
    <col min="10521" max="10772" width="7.6640625" style="2" customWidth="1"/>
    <col min="10773" max="10773" width="14.33203125" style="2" customWidth="1"/>
    <col min="10774" max="10774" width="4" style="2" customWidth="1"/>
    <col min="10775" max="10775" width="14.33203125" style="2" customWidth="1"/>
    <col min="10776" max="10776" width="4" style="2" customWidth="1"/>
    <col min="10777" max="11028" width="7.6640625" style="2" customWidth="1"/>
    <col min="11029" max="11029" width="14.33203125" style="2" customWidth="1"/>
    <col min="11030" max="11030" width="4" style="2" customWidth="1"/>
    <col min="11031" max="11031" width="14.33203125" style="2" customWidth="1"/>
    <col min="11032" max="11032" width="4" style="2" customWidth="1"/>
    <col min="11033" max="11284" width="7.6640625" style="2" customWidth="1"/>
    <col min="11285" max="11285" width="14.33203125" style="2" customWidth="1"/>
    <col min="11286" max="11286" width="4" style="2" customWidth="1"/>
    <col min="11287" max="11287" width="14.33203125" style="2" customWidth="1"/>
    <col min="11288" max="11288" width="4" style="2" customWidth="1"/>
    <col min="11289" max="11540" width="7.6640625" style="2" customWidth="1"/>
    <col min="11541" max="11541" width="14.33203125" style="2" customWidth="1"/>
    <col min="11542" max="11542" width="4" style="2" customWidth="1"/>
    <col min="11543" max="11543" width="14.33203125" style="2" customWidth="1"/>
    <col min="11544" max="11544" width="4" style="2" customWidth="1"/>
    <col min="11545" max="11796" width="7.6640625" style="2" customWidth="1"/>
    <col min="11797" max="11797" width="14.33203125" style="2" customWidth="1"/>
    <col min="11798" max="11798" width="4" style="2" customWidth="1"/>
    <col min="11799" max="11799" width="14.33203125" style="2" customWidth="1"/>
    <col min="11800" max="11800" width="4" style="2" customWidth="1"/>
    <col min="11801" max="12052" width="7.6640625" style="2" customWidth="1"/>
    <col min="12053" max="12053" width="14.33203125" style="2" customWidth="1"/>
    <col min="12054" max="12054" width="4" style="2" customWidth="1"/>
    <col min="12055" max="12055" width="14.33203125" style="2" customWidth="1"/>
    <col min="12056" max="12056" width="4" style="2" customWidth="1"/>
    <col min="12057" max="12308" width="7.6640625" style="2" customWidth="1"/>
    <col min="12309" max="12309" width="14.33203125" style="2" customWidth="1"/>
    <col min="12310" max="12310" width="4" style="2" customWidth="1"/>
    <col min="12311" max="12311" width="14.33203125" style="2" customWidth="1"/>
    <col min="12312" max="12312" width="4" style="2" customWidth="1"/>
    <col min="12313" max="12564" width="7.6640625" style="2" customWidth="1"/>
    <col min="12565" max="12565" width="14.33203125" style="2" customWidth="1"/>
    <col min="12566" max="12566" width="4" style="2" customWidth="1"/>
    <col min="12567" max="12567" width="14.33203125" style="2" customWidth="1"/>
    <col min="12568" max="12568" width="4" style="2" customWidth="1"/>
    <col min="12569" max="12820" width="7.6640625" style="2" customWidth="1"/>
    <col min="12821" max="12821" width="14.33203125" style="2" customWidth="1"/>
    <col min="12822" max="12822" width="4" style="2" customWidth="1"/>
    <col min="12823" max="12823" width="14.33203125" style="2" customWidth="1"/>
    <col min="12824" max="12824" width="4" style="2" customWidth="1"/>
    <col min="12825" max="13076" width="7.6640625" style="2" customWidth="1"/>
    <col min="13077" max="13077" width="14.33203125" style="2" customWidth="1"/>
    <col min="13078" max="13078" width="4" style="2" customWidth="1"/>
    <col min="13079" max="13079" width="14.33203125" style="2" customWidth="1"/>
    <col min="13080" max="13080" width="4" style="2" customWidth="1"/>
    <col min="13081" max="13332" width="7.6640625" style="2" customWidth="1"/>
    <col min="13333" max="13333" width="14.33203125" style="2" customWidth="1"/>
    <col min="13334" max="13334" width="4" style="2" customWidth="1"/>
    <col min="13335" max="13335" width="14.33203125" style="2" customWidth="1"/>
    <col min="13336" max="13336" width="4" style="2" customWidth="1"/>
    <col min="13337" max="13588" width="7.6640625" style="2" customWidth="1"/>
    <col min="13589" max="13589" width="14.33203125" style="2" customWidth="1"/>
    <col min="13590" max="13590" width="4" style="2" customWidth="1"/>
    <col min="13591" max="13591" width="14.33203125" style="2" customWidth="1"/>
    <col min="13592" max="13592" width="4" style="2" customWidth="1"/>
    <col min="13593" max="13844" width="7.6640625" style="2" customWidth="1"/>
    <col min="13845" max="13845" width="14.33203125" style="2" customWidth="1"/>
    <col min="13846" max="13846" width="4" style="2" customWidth="1"/>
    <col min="13847" max="13847" width="14.33203125" style="2" customWidth="1"/>
    <col min="13848" max="13848" width="4" style="2" customWidth="1"/>
    <col min="13849" max="14100" width="7.6640625" style="2" customWidth="1"/>
    <col min="14101" max="14101" width="14.33203125" style="2" customWidth="1"/>
    <col min="14102" max="14102" width="4" style="2" customWidth="1"/>
    <col min="14103" max="14103" width="14.33203125" style="2" customWidth="1"/>
    <col min="14104" max="14104" width="4" style="2" customWidth="1"/>
    <col min="14105" max="14356" width="7.6640625" style="2" customWidth="1"/>
    <col min="14357" max="14357" width="14.33203125" style="2" customWidth="1"/>
    <col min="14358" max="14358" width="4" style="2" customWidth="1"/>
    <col min="14359" max="14359" width="14.33203125" style="2" customWidth="1"/>
    <col min="14360" max="14360" width="4" style="2" customWidth="1"/>
    <col min="14361" max="14612" width="7.6640625" style="2" customWidth="1"/>
    <col min="14613" max="14613" width="14.33203125" style="2" customWidth="1"/>
    <col min="14614" max="14614" width="4" style="2" customWidth="1"/>
    <col min="14615" max="14615" width="14.33203125" style="2" customWidth="1"/>
    <col min="14616" max="14616" width="4" style="2" customWidth="1"/>
    <col min="14617" max="14868" width="7.6640625" style="2" customWidth="1"/>
    <col min="14869" max="14869" width="14.33203125" style="2" customWidth="1"/>
    <col min="14870" max="14870" width="4" style="2" customWidth="1"/>
    <col min="14871" max="14871" width="14.33203125" style="2" customWidth="1"/>
    <col min="14872" max="14872" width="4" style="2" customWidth="1"/>
    <col min="14873" max="15124" width="7.6640625" style="2" customWidth="1"/>
    <col min="15125" max="15125" width="14.33203125" style="2" customWidth="1"/>
    <col min="15126" max="15126" width="4" style="2" customWidth="1"/>
    <col min="15127" max="15127" width="14.33203125" style="2" customWidth="1"/>
    <col min="15128" max="15128" width="4" style="2" customWidth="1"/>
    <col min="15129" max="15380" width="7.6640625" style="2" customWidth="1"/>
    <col min="15381" max="15381" width="14.33203125" style="2" customWidth="1"/>
    <col min="15382" max="15382" width="4" style="2" customWidth="1"/>
    <col min="15383" max="15383" width="14.33203125" style="2" customWidth="1"/>
    <col min="15384" max="15384" width="4" style="2" customWidth="1"/>
    <col min="15385" max="15636" width="7.6640625" style="2" customWidth="1"/>
    <col min="15637" max="15637" width="14.33203125" style="2" customWidth="1"/>
    <col min="15638" max="15638" width="4" style="2" customWidth="1"/>
    <col min="15639" max="15639" width="14.33203125" style="2" customWidth="1"/>
    <col min="15640" max="15640" width="4" style="2" customWidth="1"/>
    <col min="15641" max="15892" width="7.6640625" style="2" customWidth="1"/>
    <col min="15893" max="15893" width="14.33203125" style="2" customWidth="1"/>
    <col min="15894" max="15894" width="4" style="2" customWidth="1"/>
    <col min="15895" max="15895" width="14.33203125" style="2" customWidth="1"/>
    <col min="15896" max="15896" width="4" style="2" customWidth="1"/>
    <col min="15897" max="16148" width="7.6640625" style="2" customWidth="1"/>
    <col min="16149" max="16149" width="14.33203125" style="2" customWidth="1"/>
    <col min="16150" max="16150" width="4" style="2" customWidth="1"/>
    <col min="16151" max="16151" width="14.33203125" style="2" customWidth="1"/>
    <col min="16152" max="16152" width="4" style="2" customWidth="1"/>
    <col min="16153" max="16384" width="7.6640625" style="2" customWidth="1"/>
  </cols>
  <sheetData>
    <row r="1" spans="1:26" ht="15" customHeight="1" x14ac:dyDescent="0.3">
      <c r="A1" s="85"/>
      <c r="B1" s="86"/>
      <c r="C1" s="86"/>
      <c r="D1" s="86"/>
      <c r="E1" s="86"/>
      <c r="F1" s="1"/>
      <c r="G1" s="1"/>
      <c r="H1" s="1"/>
      <c r="I1" s="1"/>
      <c r="J1" s="1"/>
      <c r="K1" s="1"/>
      <c r="L1" s="1"/>
      <c r="M1" s="1"/>
      <c r="N1" s="1"/>
      <c r="O1" s="1"/>
      <c r="P1" s="1"/>
      <c r="Q1" s="1"/>
      <c r="R1" s="1"/>
      <c r="S1" s="1"/>
      <c r="T1" s="1"/>
      <c r="U1" s="1"/>
      <c r="V1" s="1"/>
      <c r="W1" s="1"/>
      <c r="X1" s="1"/>
      <c r="Y1" s="1"/>
      <c r="Z1" s="1"/>
    </row>
    <row r="2" spans="1:26" ht="15" customHeight="1" x14ac:dyDescent="0.3">
      <c r="A2" s="3"/>
      <c r="B2" s="589" t="s">
        <v>507</v>
      </c>
      <c r="C2" s="10"/>
      <c r="D2" s="10"/>
      <c r="E2" s="3"/>
      <c r="F2" s="3"/>
      <c r="G2" s="3"/>
      <c r="H2" s="3"/>
      <c r="I2" s="3"/>
      <c r="J2" s="3"/>
      <c r="K2" s="3"/>
      <c r="L2" s="3"/>
      <c r="M2" s="3"/>
      <c r="N2" s="3"/>
      <c r="O2" s="3"/>
      <c r="P2" s="3"/>
      <c r="Q2" s="3"/>
      <c r="R2" s="3"/>
      <c r="S2" s="3"/>
      <c r="T2" s="3"/>
      <c r="U2" s="3"/>
      <c r="V2" s="3"/>
      <c r="W2" s="3"/>
      <c r="X2" s="3"/>
      <c r="Y2" s="3"/>
      <c r="Z2" s="3"/>
    </row>
    <row r="3" spans="1:26" ht="15" customHeight="1" x14ac:dyDescent="0.3">
      <c r="A3" s="3"/>
      <c r="B3" s="594" t="str">
        <f>Overview!$B$7</f>
        <v>Grove Park Drive</v>
      </c>
      <c r="C3" s="10"/>
      <c r="D3" s="10"/>
      <c r="E3" s="3"/>
      <c r="F3" s="3"/>
      <c r="G3" s="3"/>
      <c r="H3" s="3"/>
      <c r="I3" s="3"/>
      <c r="J3" s="3"/>
      <c r="K3" s="3"/>
      <c r="L3" s="3"/>
      <c r="M3" s="3"/>
      <c r="N3" s="3"/>
      <c r="O3" s="3"/>
      <c r="P3" s="3"/>
      <c r="Q3" s="3"/>
      <c r="R3" s="3"/>
      <c r="S3" s="3"/>
      <c r="T3" s="3"/>
      <c r="U3" s="3"/>
      <c r="V3" s="3"/>
      <c r="W3" s="3"/>
      <c r="X3" s="3"/>
      <c r="Y3" s="3"/>
      <c r="Z3" s="3"/>
    </row>
    <row r="4" spans="1:26" ht="15" customHeight="1" x14ac:dyDescent="0.3">
      <c r="A4" s="3"/>
      <c r="B4" s="12"/>
      <c r="C4" s="3"/>
      <c r="D4" s="3"/>
      <c r="E4" s="3"/>
      <c r="F4" s="3"/>
      <c r="G4" s="3"/>
      <c r="H4" s="3"/>
      <c r="I4" s="3"/>
      <c r="J4" s="3"/>
      <c r="K4" s="3"/>
      <c r="L4" s="3"/>
      <c r="M4" s="3"/>
      <c r="N4" s="3"/>
      <c r="O4" s="3"/>
      <c r="P4" s="3"/>
      <c r="Q4" s="3"/>
      <c r="R4" s="3"/>
      <c r="S4" s="3"/>
      <c r="T4" s="3"/>
      <c r="U4" s="3"/>
      <c r="V4" s="3"/>
      <c r="W4" s="3"/>
      <c r="X4" s="3"/>
      <c r="Y4" s="3"/>
      <c r="Z4" s="3"/>
    </row>
    <row r="5" spans="1:26" ht="15" customHeight="1" thickBot="1" x14ac:dyDescent="0.35">
      <c r="A5" s="3"/>
      <c r="B5" s="723" t="s">
        <v>347</v>
      </c>
      <c r="C5" s="3"/>
      <c r="D5" s="3"/>
      <c r="E5" s="3"/>
      <c r="F5" s="7" t="s">
        <v>457</v>
      </c>
      <c r="G5" s="22"/>
      <c r="H5" s="22"/>
      <c r="I5" s="22"/>
      <c r="J5" s="22"/>
      <c r="K5" s="22"/>
      <c r="L5" s="22"/>
      <c r="M5" s="22"/>
      <c r="N5" s="22"/>
      <c r="O5" s="7" t="s">
        <v>458</v>
      </c>
      <c r="P5" s="22"/>
      <c r="Q5" s="22"/>
      <c r="R5" s="22"/>
      <c r="S5" s="22"/>
      <c r="T5" s="22"/>
      <c r="U5" s="22"/>
      <c r="V5" s="3"/>
      <c r="W5" s="3"/>
      <c r="X5" s="3"/>
      <c r="Y5" s="3"/>
      <c r="Z5" s="3"/>
    </row>
    <row r="6" spans="1:26" ht="15" customHeight="1" thickBot="1" x14ac:dyDescent="0.35">
      <c r="A6" s="28"/>
      <c r="B6" s="1188" t="s">
        <v>15</v>
      </c>
      <c r="C6" s="1189"/>
      <c r="D6" s="1188" t="s">
        <v>29</v>
      </c>
      <c r="E6" s="1189"/>
      <c r="F6" s="1205" t="s">
        <v>345</v>
      </c>
      <c r="G6" s="1206"/>
      <c r="H6" s="1206"/>
      <c r="I6" s="1206"/>
      <c r="J6" s="1206"/>
      <c r="K6" s="1206"/>
      <c r="L6" s="1207"/>
      <c r="M6" s="33"/>
      <c r="N6" s="176"/>
      <c r="O6" s="1205" t="s">
        <v>345</v>
      </c>
      <c r="P6" s="1206"/>
      <c r="Q6" s="1206"/>
      <c r="R6" s="1206"/>
      <c r="S6" s="1206"/>
      <c r="T6" s="1206"/>
      <c r="U6" s="1207"/>
      <c r="V6" s="176"/>
      <c r="W6" s="176"/>
      <c r="X6" s="176"/>
      <c r="Y6" s="75"/>
      <c r="Z6" s="3"/>
    </row>
    <row r="7" spans="1:26" ht="15" customHeight="1" x14ac:dyDescent="0.3">
      <c r="A7" s="28"/>
      <c r="B7" s="1190"/>
      <c r="C7" s="1191"/>
      <c r="D7" s="1190"/>
      <c r="E7" s="1191"/>
      <c r="F7" s="101"/>
      <c r="G7" s="102" t="s">
        <v>30</v>
      </c>
      <c r="H7" s="102" t="s">
        <v>31</v>
      </c>
      <c r="I7" s="102" t="s">
        <v>32</v>
      </c>
      <c r="J7" s="102" t="s">
        <v>33</v>
      </c>
      <c r="K7" s="102" t="s">
        <v>34</v>
      </c>
      <c r="L7" s="103" t="s">
        <v>35</v>
      </c>
      <c r="M7" s="59"/>
      <c r="N7" s="176"/>
      <c r="O7" s="101"/>
      <c r="P7" s="102" t="s">
        <v>30</v>
      </c>
      <c r="Q7" s="102" t="s">
        <v>31</v>
      </c>
      <c r="R7" s="102" t="s">
        <v>32</v>
      </c>
      <c r="S7" s="102" t="s">
        <v>33</v>
      </c>
      <c r="T7" s="102" t="s">
        <v>34</v>
      </c>
      <c r="U7" s="103" t="s">
        <v>35</v>
      </c>
      <c r="V7" s="176"/>
      <c r="W7" s="176"/>
      <c r="X7" s="176"/>
      <c r="Y7" s="162"/>
      <c r="Z7" s="3"/>
    </row>
    <row r="8" spans="1:26" ht="15" customHeight="1" thickBot="1" x14ac:dyDescent="0.35">
      <c r="A8" s="28"/>
      <c r="B8" s="1192"/>
      <c r="C8" s="1193"/>
      <c r="D8" s="1192"/>
      <c r="E8" s="1193"/>
      <c r="F8" s="104"/>
      <c r="G8" s="105"/>
      <c r="H8" s="105"/>
      <c r="I8" s="105"/>
      <c r="J8" s="105"/>
      <c r="K8" s="105"/>
      <c r="L8" s="106"/>
      <c r="M8" s="59"/>
      <c r="N8" s="176"/>
      <c r="O8" s="104"/>
      <c r="P8" s="105"/>
      <c r="Q8" s="105"/>
      <c r="R8" s="105"/>
      <c r="S8" s="105"/>
      <c r="T8" s="105"/>
      <c r="U8" s="106"/>
      <c r="V8" s="176"/>
      <c r="W8" s="176"/>
      <c r="X8" s="176"/>
      <c r="Y8" s="162"/>
      <c r="Z8" s="3"/>
    </row>
    <row r="9" spans="1:26" ht="15" customHeight="1" x14ac:dyDescent="0.3">
      <c r="A9" s="28"/>
      <c r="B9" s="1184" t="s">
        <v>303</v>
      </c>
      <c r="C9" s="1185"/>
      <c r="D9" s="1184">
        <v>1</v>
      </c>
      <c r="E9" s="1185"/>
      <c r="F9" s="859" t="s">
        <v>74</v>
      </c>
      <c r="G9" s="852">
        <v>40</v>
      </c>
      <c r="H9" s="852">
        <v>41</v>
      </c>
      <c r="I9" s="852">
        <v>45</v>
      </c>
      <c r="J9" s="852">
        <v>45</v>
      </c>
      <c r="K9" s="852">
        <v>53</v>
      </c>
      <c r="L9" s="853">
        <v>59</v>
      </c>
      <c r="M9" s="53"/>
      <c r="N9" s="494"/>
      <c r="O9" s="859" t="s">
        <v>74</v>
      </c>
      <c r="P9" s="844">
        <v>40</v>
      </c>
      <c r="Q9" s="844">
        <v>41</v>
      </c>
      <c r="R9" s="844">
        <v>45</v>
      </c>
      <c r="S9" s="844">
        <v>45</v>
      </c>
      <c r="T9" s="844">
        <v>53</v>
      </c>
      <c r="U9" s="849">
        <v>59</v>
      </c>
      <c r="V9" s="79"/>
      <c r="W9" s="79"/>
      <c r="X9" s="79"/>
      <c r="Y9" s="161"/>
      <c r="Z9" s="3"/>
    </row>
    <row r="10" spans="1:26" ht="15" customHeight="1" x14ac:dyDescent="0.3">
      <c r="A10" s="28"/>
      <c r="B10" s="1194" t="s">
        <v>304</v>
      </c>
      <c r="C10" s="1195"/>
      <c r="D10" s="1194">
        <v>2</v>
      </c>
      <c r="E10" s="1195"/>
      <c r="F10" s="860" t="s">
        <v>74</v>
      </c>
      <c r="G10" s="854">
        <v>43</v>
      </c>
      <c r="H10" s="854">
        <v>43</v>
      </c>
      <c r="I10" s="854">
        <v>47</v>
      </c>
      <c r="J10" s="854">
        <v>47</v>
      </c>
      <c r="K10" s="854">
        <v>47</v>
      </c>
      <c r="L10" s="855">
        <v>65</v>
      </c>
      <c r="M10" s="53"/>
      <c r="N10" s="494"/>
      <c r="O10" s="860" t="s">
        <v>74</v>
      </c>
      <c r="P10" s="843">
        <v>43</v>
      </c>
      <c r="Q10" s="843">
        <v>43</v>
      </c>
      <c r="R10" s="843">
        <v>47</v>
      </c>
      <c r="S10" s="843">
        <v>47</v>
      </c>
      <c r="T10" s="843">
        <v>47</v>
      </c>
      <c r="U10" s="848">
        <v>65</v>
      </c>
      <c r="V10" s="79"/>
      <c r="W10" s="79"/>
      <c r="X10" s="79"/>
      <c r="Y10" s="161"/>
      <c r="Z10" s="3"/>
    </row>
    <row r="11" spans="1:26" ht="15" customHeight="1" x14ac:dyDescent="0.3">
      <c r="A11" s="28"/>
      <c r="B11" s="1180" t="s">
        <v>305</v>
      </c>
      <c r="C11" s="1181"/>
      <c r="D11" s="1180">
        <v>1</v>
      </c>
      <c r="E11" s="1181"/>
      <c r="F11" s="861" t="s">
        <v>74</v>
      </c>
      <c r="G11" s="852">
        <v>40</v>
      </c>
      <c r="H11" s="852">
        <v>41</v>
      </c>
      <c r="I11" s="852">
        <v>45</v>
      </c>
      <c r="J11" s="852">
        <v>45</v>
      </c>
      <c r="K11" s="852">
        <v>53</v>
      </c>
      <c r="L11" s="853">
        <v>59</v>
      </c>
      <c r="M11" s="53"/>
      <c r="N11" s="494"/>
      <c r="O11" s="861" t="s">
        <v>74</v>
      </c>
      <c r="P11" s="844">
        <v>40</v>
      </c>
      <c r="Q11" s="844">
        <v>41</v>
      </c>
      <c r="R11" s="844">
        <v>45</v>
      </c>
      <c r="S11" s="844">
        <v>45</v>
      </c>
      <c r="T11" s="844">
        <v>53</v>
      </c>
      <c r="U11" s="849">
        <v>59</v>
      </c>
      <c r="V11" s="79"/>
      <c r="W11" s="79"/>
      <c r="X11" s="79"/>
      <c r="Y11" s="161"/>
      <c r="Z11" s="3"/>
    </row>
    <row r="12" spans="1:26" ht="15" customHeight="1" x14ac:dyDescent="0.3">
      <c r="A12" s="28"/>
      <c r="B12" s="1194" t="s">
        <v>306</v>
      </c>
      <c r="C12" s="1195"/>
      <c r="D12" s="1194">
        <v>2</v>
      </c>
      <c r="E12" s="1195"/>
      <c r="F12" s="860" t="s">
        <v>74</v>
      </c>
      <c r="G12" s="854">
        <v>43</v>
      </c>
      <c r="H12" s="854">
        <v>43</v>
      </c>
      <c r="I12" s="854">
        <v>47</v>
      </c>
      <c r="J12" s="854">
        <v>47</v>
      </c>
      <c r="K12" s="854">
        <v>47</v>
      </c>
      <c r="L12" s="855">
        <v>65</v>
      </c>
      <c r="M12" s="53"/>
      <c r="N12" s="494"/>
      <c r="O12" s="860" t="s">
        <v>74</v>
      </c>
      <c r="P12" s="843">
        <v>43</v>
      </c>
      <c r="Q12" s="843">
        <v>43</v>
      </c>
      <c r="R12" s="843">
        <v>47</v>
      </c>
      <c r="S12" s="843">
        <v>47</v>
      </c>
      <c r="T12" s="843">
        <v>47</v>
      </c>
      <c r="U12" s="848">
        <v>65</v>
      </c>
      <c r="V12" s="79"/>
      <c r="W12" s="79"/>
      <c r="X12" s="79"/>
      <c r="Y12" s="161"/>
      <c r="Z12" s="3"/>
    </row>
    <row r="13" spans="1:26" ht="15" customHeight="1" x14ac:dyDescent="0.3">
      <c r="A13" s="28"/>
      <c r="B13" s="1180" t="s">
        <v>28</v>
      </c>
      <c r="C13" s="1181"/>
      <c r="D13" s="1180">
        <v>2</v>
      </c>
      <c r="E13" s="1181"/>
      <c r="F13" s="861" t="s">
        <v>74</v>
      </c>
      <c r="G13" s="852">
        <v>50</v>
      </c>
      <c r="H13" s="852">
        <v>50</v>
      </c>
      <c r="I13" s="852">
        <v>56</v>
      </c>
      <c r="J13" s="852">
        <v>55</v>
      </c>
      <c r="K13" s="852">
        <v>66</v>
      </c>
      <c r="L13" s="856">
        <v>74</v>
      </c>
      <c r="M13" s="53"/>
      <c r="N13" s="79"/>
      <c r="O13" s="861" t="s">
        <v>74</v>
      </c>
      <c r="P13" s="844">
        <v>50</v>
      </c>
      <c r="Q13" s="844">
        <v>50</v>
      </c>
      <c r="R13" s="844">
        <v>56</v>
      </c>
      <c r="S13" s="844">
        <v>55</v>
      </c>
      <c r="T13" s="844">
        <v>66</v>
      </c>
      <c r="U13" s="847">
        <v>74</v>
      </c>
      <c r="V13" s="79"/>
      <c r="W13" s="79"/>
      <c r="X13" s="79"/>
      <c r="Y13" s="161"/>
      <c r="Z13" s="3"/>
    </row>
    <row r="14" spans="1:26" ht="15" customHeight="1" x14ac:dyDescent="0.3">
      <c r="A14" s="28"/>
      <c r="B14" s="1182" t="s">
        <v>28</v>
      </c>
      <c r="C14" s="1183"/>
      <c r="D14" s="1182">
        <v>3</v>
      </c>
      <c r="E14" s="1183"/>
      <c r="F14" s="859" t="s">
        <v>74</v>
      </c>
      <c r="G14" s="852">
        <v>47</v>
      </c>
      <c r="H14" s="852">
        <v>49</v>
      </c>
      <c r="I14" s="852">
        <v>54</v>
      </c>
      <c r="J14" s="852">
        <v>54</v>
      </c>
      <c r="K14" s="852">
        <v>64</v>
      </c>
      <c r="L14" s="853">
        <v>73</v>
      </c>
      <c r="M14" s="53"/>
      <c r="N14" s="79"/>
      <c r="O14" s="859" t="s">
        <v>74</v>
      </c>
      <c r="P14" s="844">
        <v>47</v>
      </c>
      <c r="Q14" s="844">
        <v>49</v>
      </c>
      <c r="R14" s="844">
        <v>54</v>
      </c>
      <c r="S14" s="844">
        <v>54</v>
      </c>
      <c r="T14" s="844">
        <v>64</v>
      </c>
      <c r="U14" s="849">
        <v>73</v>
      </c>
      <c r="V14" s="79"/>
      <c r="W14" s="79"/>
      <c r="X14" s="79"/>
      <c r="Y14" s="161"/>
      <c r="Z14" s="3"/>
    </row>
    <row r="15" spans="1:26" ht="15" customHeight="1" x14ac:dyDescent="0.3">
      <c r="A15" s="28"/>
      <c r="B15" s="1182" t="s">
        <v>28</v>
      </c>
      <c r="C15" s="1183"/>
      <c r="D15" s="1182">
        <v>4</v>
      </c>
      <c r="E15" s="1183"/>
      <c r="F15" s="859" t="s">
        <v>74</v>
      </c>
      <c r="G15" s="852">
        <v>39</v>
      </c>
      <c r="H15" s="852">
        <v>41</v>
      </c>
      <c r="I15" s="852">
        <v>54</v>
      </c>
      <c r="J15" s="852">
        <v>54</v>
      </c>
      <c r="K15" s="852">
        <v>64</v>
      </c>
      <c r="L15" s="853">
        <v>72</v>
      </c>
      <c r="M15" s="53"/>
      <c r="N15" s="79"/>
      <c r="O15" s="859" t="s">
        <v>74</v>
      </c>
      <c r="P15" s="844">
        <v>39</v>
      </c>
      <c r="Q15" s="844">
        <v>41</v>
      </c>
      <c r="R15" s="844">
        <v>54</v>
      </c>
      <c r="S15" s="844">
        <v>54</v>
      </c>
      <c r="T15" s="844">
        <v>64</v>
      </c>
      <c r="U15" s="849">
        <v>72</v>
      </c>
      <c r="V15" s="79"/>
      <c r="W15" s="79"/>
      <c r="X15" s="79"/>
      <c r="Y15" s="161"/>
      <c r="Z15" s="3"/>
    </row>
    <row r="16" spans="1:26" ht="15" customHeight="1" x14ac:dyDescent="0.3">
      <c r="A16" s="28"/>
      <c r="B16" s="1182" t="s">
        <v>28</v>
      </c>
      <c r="C16" s="1183"/>
      <c r="D16" s="1182">
        <v>5</v>
      </c>
      <c r="E16" s="1183"/>
      <c r="F16" s="859" t="s">
        <v>74</v>
      </c>
      <c r="G16" s="863" t="s">
        <v>74</v>
      </c>
      <c r="H16" s="863" t="s">
        <v>74</v>
      </c>
      <c r="I16" s="852">
        <v>36</v>
      </c>
      <c r="J16" s="852">
        <v>39</v>
      </c>
      <c r="K16" s="852">
        <v>46</v>
      </c>
      <c r="L16" s="853">
        <v>67</v>
      </c>
      <c r="M16" s="53"/>
      <c r="N16" s="79"/>
      <c r="O16" s="859" t="s">
        <v>74</v>
      </c>
      <c r="P16" s="863" t="s">
        <v>74</v>
      </c>
      <c r="Q16" s="863" t="s">
        <v>74</v>
      </c>
      <c r="R16" s="844">
        <v>36</v>
      </c>
      <c r="S16" s="844">
        <v>39</v>
      </c>
      <c r="T16" s="844">
        <v>46</v>
      </c>
      <c r="U16" s="849">
        <v>67</v>
      </c>
      <c r="V16" s="79"/>
      <c r="W16" s="79"/>
      <c r="X16" s="79"/>
      <c r="Y16" s="161"/>
      <c r="Z16" s="3"/>
    </row>
    <row r="17" spans="1:26" ht="15" customHeight="1" thickBot="1" x14ac:dyDescent="0.35">
      <c r="A17" s="28"/>
      <c r="B17" s="1203" t="s">
        <v>28</v>
      </c>
      <c r="C17" s="1204"/>
      <c r="D17" s="1203">
        <v>6</v>
      </c>
      <c r="E17" s="1204"/>
      <c r="F17" s="862" t="s">
        <v>74</v>
      </c>
      <c r="G17" s="864" t="s">
        <v>74</v>
      </c>
      <c r="H17" s="864" t="s">
        <v>74</v>
      </c>
      <c r="I17" s="857">
        <v>31</v>
      </c>
      <c r="J17" s="857">
        <v>33</v>
      </c>
      <c r="K17" s="857">
        <v>46</v>
      </c>
      <c r="L17" s="858">
        <v>56</v>
      </c>
      <c r="M17" s="53"/>
      <c r="N17" s="79"/>
      <c r="O17" s="862" t="s">
        <v>74</v>
      </c>
      <c r="P17" s="864" t="s">
        <v>74</v>
      </c>
      <c r="Q17" s="864" t="s">
        <v>74</v>
      </c>
      <c r="R17" s="42">
        <v>31</v>
      </c>
      <c r="S17" s="42">
        <v>33</v>
      </c>
      <c r="T17" s="42">
        <v>46</v>
      </c>
      <c r="U17" s="850">
        <v>56</v>
      </c>
      <c r="V17" s="79"/>
      <c r="W17" s="79"/>
      <c r="X17" s="79"/>
      <c r="Y17" s="161"/>
      <c r="Z17" s="3"/>
    </row>
    <row r="18" spans="1:26" ht="15" customHeight="1" x14ac:dyDescent="0.3">
      <c r="A18" s="34"/>
      <c r="B18" s="53"/>
      <c r="C18" s="53"/>
      <c r="D18" s="53"/>
      <c r="E18" s="53"/>
      <c r="F18" s="53"/>
      <c r="G18" s="53"/>
      <c r="H18" s="53"/>
      <c r="I18" s="53"/>
      <c r="J18" s="53"/>
      <c r="K18" s="53"/>
      <c r="L18" s="53"/>
      <c r="M18" s="53"/>
      <c r="N18" s="161"/>
      <c r="O18" s="844"/>
      <c r="P18" s="844"/>
      <c r="Q18" s="844"/>
      <c r="R18" s="844"/>
      <c r="S18" s="844"/>
      <c r="T18" s="844"/>
      <c r="U18" s="844"/>
      <c r="V18" s="161"/>
      <c r="W18" s="161"/>
      <c r="X18" s="161"/>
      <c r="Y18" s="161"/>
      <c r="Z18" s="3"/>
    </row>
    <row r="19" spans="1:26" ht="15" customHeight="1" thickBot="1" x14ac:dyDescent="0.35">
      <c r="A19" s="3"/>
      <c r="B19" s="723" t="s">
        <v>346</v>
      </c>
      <c r="C19" s="3"/>
      <c r="D19" s="3"/>
      <c r="E19" s="3"/>
      <c r="F19" s="22"/>
      <c r="G19" s="3"/>
      <c r="H19" s="3"/>
      <c r="I19" s="3"/>
      <c r="J19" s="3"/>
      <c r="K19" s="3"/>
      <c r="L19" s="3"/>
      <c r="M19" s="3"/>
      <c r="N19" s="31"/>
      <c r="O19" s="22"/>
      <c r="P19" s="3"/>
      <c r="Q19" s="3"/>
      <c r="R19" s="3"/>
      <c r="S19" s="3"/>
      <c r="T19" s="3"/>
      <c r="U19" s="3"/>
      <c r="V19" s="79"/>
      <c r="W19" s="79"/>
      <c r="X19" s="79"/>
      <c r="Y19" s="79"/>
      <c r="Z19" s="3"/>
    </row>
    <row r="20" spans="1:26" ht="15" customHeight="1" thickBot="1" x14ac:dyDescent="0.35">
      <c r="A20" s="3"/>
      <c r="B20" s="1199" t="s">
        <v>15</v>
      </c>
      <c r="C20" s="1200"/>
      <c r="D20" s="1199" t="s">
        <v>29</v>
      </c>
      <c r="E20" s="1200"/>
      <c r="F20" s="1205" t="s">
        <v>345</v>
      </c>
      <c r="G20" s="1206"/>
      <c r="H20" s="1206"/>
      <c r="I20" s="1206"/>
      <c r="J20" s="1206"/>
      <c r="K20" s="1206"/>
      <c r="L20" s="1207"/>
      <c r="M20" s="33"/>
      <c r="N20" s="176"/>
      <c r="O20" s="1205" t="s">
        <v>345</v>
      </c>
      <c r="P20" s="1206"/>
      <c r="Q20" s="1206"/>
      <c r="R20" s="1206"/>
      <c r="S20" s="1206"/>
      <c r="T20" s="1206"/>
      <c r="U20" s="1207"/>
      <c r="V20" s="176"/>
      <c r="W20" s="176"/>
      <c r="X20" s="176"/>
      <c r="Y20" s="75"/>
      <c r="Z20" s="3"/>
    </row>
    <row r="21" spans="1:26" ht="15" customHeight="1" x14ac:dyDescent="0.3">
      <c r="A21" s="3"/>
      <c r="B21" s="1201"/>
      <c r="C21" s="1202"/>
      <c r="D21" s="1201"/>
      <c r="E21" s="1202"/>
      <c r="F21" s="101"/>
      <c r="G21" s="102" t="s">
        <v>30</v>
      </c>
      <c r="H21" s="102" t="s">
        <v>31</v>
      </c>
      <c r="I21" s="102" t="s">
        <v>32</v>
      </c>
      <c r="J21" s="102" t="s">
        <v>33</v>
      </c>
      <c r="K21" s="102" t="s">
        <v>34</v>
      </c>
      <c r="L21" s="103" t="s">
        <v>35</v>
      </c>
      <c r="M21" s="59"/>
      <c r="N21" s="176"/>
      <c r="O21" s="101"/>
      <c r="P21" s="102" t="s">
        <v>30</v>
      </c>
      <c r="Q21" s="102" t="s">
        <v>31</v>
      </c>
      <c r="R21" s="102" t="s">
        <v>32</v>
      </c>
      <c r="S21" s="102" t="s">
        <v>33</v>
      </c>
      <c r="T21" s="102" t="s">
        <v>34</v>
      </c>
      <c r="U21" s="103" t="s">
        <v>35</v>
      </c>
      <c r="V21" s="176"/>
      <c r="W21" s="176"/>
      <c r="X21" s="176"/>
      <c r="Y21" s="162"/>
      <c r="Z21" s="3"/>
    </row>
    <row r="22" spans="1:26" ht="15" customHeight="1" thickBot="1" x14ac:dyDescent="0.35">
      <c r="A22" s="3"/>
      <c r="B22" s="1201"/>
      <c r="C22" s="1202"/>
      <c r="D22" s="1201"/>
      <c r="E22" s="1202"/>
      <c r="F22" s="104"/>
      <c r="G22" s="105"/>
      <c r="H22" s="105"/>
      <c r="I22" s="105"/>
      <c r="J22" s="105"/>
      <c r="K22" s="105"/>
      <c r="L22" s="106"/>
      <c r="M22" s="59"/>
      <c r="N22" s="176"/>
      <c r="O22" s="104"/>
      <c r="P22" s="105"/>
      <c r="Q22" s="105"/>
      <c r="R22" s="105"/>
      <c r="S22" s="105"/>
      <c r="T22" s="105"/>
      <c r="U22" s="106"/>
      <c r="V22" s="176"/>
      <c r="W22" s="176"/>
      <c r="X22" s="176"/>
      <c r="Y22" s="162"/>
      <c r="Z22" s="3"/>
    </row>
    <row r="23" spans="1:26" ht="15" customHeight="1" x14ac:dyDescent="0.3">
      <c r="A23" s="3"/>
      <c r="B23" s="1184" t="s">
        <v>303</v>
      </c>
      <c r="C23" s="1185"/>
      <c r="D23" s="1186">
        <v>1</v>
      </c>
      <c r="E23" s="1187"/>
      <c r="F23" s="859" t="s">
        <v>74</v>
      </c>
      <c r="G23" s="852">
        <v>233</v>
      </c>
      <c r="H23" s="852">
        <v>171</v>
      </c>
      <c r="I23" s="852">
        <v>127</v>
      </c>
      <c r="J23" s="852">
        <v>92</v>
      </c>
      <c r="K23" s="852">
        <v>71</v>
      </c>
      <c r="L23" s="853">
        <v>71</v>
      </c>
      <c r="M23" s="53"/>
      <c r="N23" s="79"/>
      <c r="O23" s="859" t="s">
        <v>74</v>
      </c>
      <c r="P23" s="844">
        <v>233</v>
      </c>
      <c r="Q23" s="844">
        <v>171</v>
      </c>
      <c r="R23" s="844">
        <v>127</v>
      </c>
      <c r="S23" s="844">
        <v>92</v>
      </c>
      <c r="T23" s="844">
        <v>71</v>
      </c>
      <c r="U23" s="849">
        <v>71</v>
      </c>
      <c r="V23" s="79"/>
      <c r="W23" s="79"/>
      <c r="X23" s="79"/>
      <c r="Y23" s="161"/>
      <c r="Z23" s="3"/>
    </row>
    <row r="24" spans="1:26" ht="15" customHeight="1" x14ac:dyDescent="0.3">
      <c r="A24" s="3"/>
      <c r="B24" s="1194" t="s">
        <v>304</v>
      </c>
      <c r="C24" s="1195"/>
      <c r="D24" s="1178">
        <v>2</v>
      </c>
      <c r="E24" s="1179"/>
      <c r="F24" s="860" t="s">
        <v>74</v>
      </c>
      <c r="G24" s="854">
        <v>160</v>
      </c>
      <c r="H24" s="854">
        <v>119</v>
      </c>
      <c r="I24" s="854">
        <v>82</v>
      </c>
      <c r="J24" s="854">
        <v>62</v>
      </c>
      <c r="K24" s="854">
        <v>56</v>
      </c>
      <c r="L24" s="855">
        <v>56</v>
      </c>
      <c r="M24" s="53"/>
      <c r="N24" s="79"/>
      <c r="O24" s="860" t="s">
        <v>74</v>
      </c>
      <c r="P24" s="843">
        <v>160</v>
      </c>
      <c r="Q24" s="843">
        <v>119</v>
      </c>
      <c r="R24" s="843">
        <v>82</v>
      </c>
      <c r="S24" s="843">
        <v>62</v>
      </c>
      <c r="T24" s="843">
        <v>56</v>
      </c>
      <c r="U24" s="848">
        <v>56</v>
      </c>
      <c r="V24" s="79"/>
      <c r="W24" s="79"/>
      <c r="X24" s="79"/>
      <c r="Y24" s="161"/>
      <c r="Z24" s="3"/>
    </row>
    <row r="25" spans="1:26" ht="15" customHeight="1" x14ac:dyDescent="0.3">
      <c r="A25" s="3"/>
      <c r="B25" s="1180" t="s">
        <v>305</v>
      </c>
      <c r="C25" s="1181"/>
      <c r="D25" s="1196">
        <v>1</v>
      </c>
      <c r="E25" s="1198"/>
      <c r="F25" s="861" t="s">
        <v>74</v>
      </c>
      <c r="G25" s="852">
        <v>233</v>
      </c>
      <c r="H25" s="852">
        <v>171</v>
      </c>
      <c r="I25" s="852">
        <v>127</v>
      </c>
      <c r="J25" s="852">
        <v>92</v>
      </c>
      <c r="K25" s="852">
        <v>71</v>
      </c>
      <c r="L25" s="853">
        <v>71</v>
      </c>
      <c r="M25" s="53"/>
      <c r="N25" s="79"/>
      <c r="O25" s="861" t="s">
        <v>74</v>
      </c>
      <c r="P25" s="844">
        <v>233</v>
      </c>
      <c r="Q25" s="844">
        <v>171</v>
      </c>
      <c r="R25" s="844">
        <v>127</v>
      </c>
      <c r="S25" s="844">
        <v>92</v>
      </c>
      <c r="T25" s="844">
        <v>71</v>
      </c>
      <c r="U25" s="849">
        <v>71</v>
      </c>
      <c r="V25" s="79"/>
      <c r="W25" s="79"/>
      <c r="X25" s="79"/>
      <c r="Y25" s="161"/>
      <c r="Z25" s="3"/>
    </row>
    <row r="26" spans="1:26" ht="15" customHeight="1" x14ac:dyDescent="0.3">
      <c r="A26" s="3"/>
      <c r="B26" s="1194" t="s">
        <v>306</v>
      </c>
      <c r="C26" s="1195"/>
      <c r="D26" s="1178">
        <v>2</v>
      </c>
      <c r="E26" s="1179"/>
      <c r="F26" s="860" t="s">
        <v>74</v>
      </c>
      <c r="G26" s="854">
        <v>160</v>
      </c>
      <c r="H26" s="854">
        <v>119</v>
      </c>
      <c r="I26" s="854">
        <v>82</v>
      </c>
      <c r="J26" s="854">
        <v>62</v>
      </c>
      <c r="K26" s="854">
        <v>56</v>
      </c>
      <c r="L26" s="855">
        <v>56</v>
      </c>
      <c r="M26" s="53"/>
      <c r="N26" s="79"/>
      <c r="O26" s="860" t="s">
        <v>74</v>
      </c>
      <c r="P26" s="843">
        <v>160</v>
      </c>
      <c r="Q26" s="843">
        <v>119</v>
      </c>
      <c r="R26" s="843">
        <v>82</v>
      </c>
      <c r="S26" s="843">
        <v>62</v>
      </c>
      <c r="T26" s="843">
        <v>56</v>
      </c>
      <c r="U26" s="848">
        <v>56</v>
      </c>
      <c r="V26" s="79"/>
      <c r="W26" s="79"/>
      <c r="X26" s="79"/>
      <c r="Y26" s="161"/>
      <c r="Z26" s="3"/>
    </row>
    <row r="27" spans="1:26" ht="15" customHeight="1" x14ac:dyDescent="0.3">
      <c r="A27" s="3"/>
      <c r="B27" s="1196" t="s">
        <v>28</v>
      </c>
      <c r="C27" s="1197"/>
      <c r="D27" s="1196">
        <v>2</v>
      </c>
      <c r="E27" s="1198"/>
      <c r="F27" s="861" t="s">
        <v>74</v>
      </c>
      <c r="G27" s="852">
        <v>303</v>
      </c>
      <c r="H27" s="852">
        <v>233</v>
      </c>
      <c r="I27" s="852">
        <v>171</v>
      </c>
      <c r="J27" s="852">
        <v>119</v>
      </c>
      <c r="K27" s="852">
        <v>92</v>
      </c>
      <c r="L27" s="856">
        <v>98</v>
      </c>
      <c r="M27" s="53"/>
      <c r="N27" s="79"/>
      <c r="O27" s="861" t="s">
        <v>74</v>
      </c>
      <c r="P27" s="844">
        <v>303</v>
      </c>
      <c r="Q27" s="844">
        <v>233</v>
      </c>
      <c r="R27" s="844">
        <v>171</v>
      </c>
      <c r="S27" s="844">
        <v>119</v>
      </c>
      <c r="T27" s="844">
        <v>92</v>
      </c>
      <c r="U27" s="847">
        <v>98</v>
      </c>
      <c r="V27" s="79"/>
      <c r="W27" s="79"/>
      <c r="X27" s="79"/>
      <c r="Y27" s="161"/>
      <c r="Z27" s="3"/>
    </row>
    <row r="28" spans="1:26" ht="15" customHeight="1" x14ac:dyDescent="0.3">
      <c r="A28" s="3"/>
      <c r="B28" s="1211" t="s">
        <v>28</v>
      </c>
      <c r="C28" s="1212"/>
      <c r="D28" s="1211">
        <v>3</v>
      </c>
      <c r="E28" s="1213"/>
      <c r="F28" s="859" t="s">
        <v>74</v>
      </c>
      <c r="G28" s="852">
        <v>385</v>
      </c>
      <c r="H28" s="852">
        <v>303</v>
      </c>
      <c r="I28" s="852">
        <v>201</v>
      </c>
      <c r="J28" s="852">
        <v>171</v>
      </c>
      <c r="K28" s="852">
        <v>115</v>
      </c>
      <c r="L28" s="853">
        <v>119</v>
      </c>
      <c r="M28" s="53"/>
      <c r="N28" s="79"/>
      <c r="O28" s="859" t="s">
        <v>74</v>
      </c>
      <c r="P28" s="844">
        <v>385</v>
      </c>
      <c r="Q28" s="844">
        <v>303</v>
      </c>
      <c r="R28" s="844">
        <v>201</v>
      </c>
      <c r="S28" s="844">
        <v>171</v>
      </c>
      <c r="T28" s="844">
        <v>115</v>
      </c>
      <c r="U28" s="849">
        <v>119</v>
      </c>
      <c r="V28" s="79"/>
      <c r="W28" s="79"/>
      <c r="X28" s="79"/>
      <c r="Y28" s="161"/>
      <c r="Z28" s="3"/>
    </row>
    <row r="29" spans="1:26" ht="15" customHeight="1" x14ac:dyDescent="0.3">
      <c r="A29" s="3"/>
      <c r="B29" s="1211" t="s">
        <v>28</v>
      </c>
      <c r="C29" s="1212"/>
      <c r="D29" s="1211">
        <v>4</v>
      </c>
      <c r="E29" s="1213"/>
      <c r="F29" s="859" t="s">
        <v>74</v>
      </c>
      <c r="G29" s="852">
        <v>385</v>
      </c>
      <c r="H29" s="852">
        <v>303</v>
      </c>
      <c r="I29" s="852">
        <v>267</v>
      </c>
      <c r="J29" s="852">
        <v>201</v>
      </c>
      <c r="K29" s="852">
        <v>171</v>
      </c>
      <c r="L29" s="853">
        <v>133</v>
      </c>
      <c r="M29" s="53"/>
      <c r="N29" s="79"/>
      <c r="O29" s="859" t="s">
        <v>74</v>
      </c>
      <c r="P29" s="844">
        <v>385</v>
      </c>
      <c r="Q29" s="844">
        <v>303</v>
      </c>
      <c r="R29" s="844">
        <v>267</v>
      </c>
      <c r="S29" s="844">
        <v>201</v>
      </c>
      <c r="T29" s="844">
        <v>171</v>
      </c>
      <c r="U29" s="849">
        <v>133</v>
      </c>
      <c r="V29" s="79"/>
      <c r="W29" s="79"/>
      <c r="X29" s="79"/>
      <c r="Y29" s="161"/>
      <c r="Z29" s="3"/>
    </row>
    <row r="30" spans="1:26" ht="15" customHeight="1" x14ac:dyDescent="0.3">
      <c r="A30" s="3"/>
      <c r="B30" s="1211" t="s">
        <v>28</v>
      </c>
      <c r="C30" s="1212"/>
      <c r="D30" s="1211">
        <v>5</v>
      </c>
      <c r="E30" s="1213"/>
      <c r="F30" s="859" t="s">
        <v>74</v>
      </c>
      <c r="G30" s="863" t="s">
        <v>74</v>
      </c>
      <c r="H30" s="863" t="s">
        <v>74</v>
      </c>
      <c r="I30" s="852">
        <v>267</v>
      </c>
      <c r="J30" s="852">
        <v>233</v>
      </c>
      <c r="K30" s="852">
        <v>171</v>
      </c>
      <c r="L30" s="853">
        <v>146</v>
      </c>
      <c r="M30" s="53"/>
      <c r="N30" s="79"/>
      <c r="O30" s="859" t="s">
        <v>74</v>
      </c>
      <c r="P30" s="863" t="s">
        <v>74</v>
      </c>
      <c r="Q30" s="863" t="s">
        <v>74</v>
      </c>
      <c r="R30" s="844">
        <v>267</v>
      </c>
      <c r="S30" s="844">
        <v>233</v>
      </c>
      <c r="T30" s="844">
        <v>171</v>
      </c>
      <c r="U30" s="849">
        <v>146</v>
      </c>
      <c r="V30" s="79"/>
      <c r="W30" s="79"/>
      <c r="X30" s="79"/>
      <c r="Y30" s="161"/>
      <c r="Z30" s="3"/>
    </row>
    <row r="31" spans="1:26" ht="15" customHeight="1" thickBot="1" x14ac:dyDescent="0.35">
      <c r="A31" s="3"/>
      <c r="B31" s="1208" t="s">
        <v>28</v>
      </c>
      <c r="C31" s="1209"/>
      <c r="D31" s="1208">
        <v>6</v>
      </c>
      <c r="E31" s="1210"/>
      <c r="F31" s="862" t="s">
        <v>74</v>
      </c>
      <c r="G31" s="864" t="s">
        <v>74</v>
      </c>
      <c r="H31" s="864" t="s">
        <v>74</v>
      </c>
      <c r="I31" s="857">
        <v>267</v>
      </c>
      <c r="J31" s="857">
        <v>201</v>
      </c>
      <c r="K31" s="857">
        <v>201</v>
      </c>
      <c r="L31" s="858">
        <v>171</v>
      </c>
      <c r="M31" s="53"/>
      <c r="N31" s="79"/>
      <c r="O31" s="862" t="s">
        <v>74</v>
      </c>
      <c r="P31" s="864" t="s">
        <v>74</v>
      </c>
      <c r="Q31" s="864" t="s">
        <v>74</v>
      </c>
      <c r="R31" s="42">
        <v>267</v>
      </c>
      <c r="S31" s="42">
        <v>201</v>
      </c>
      <c r="T31" s="42">
        <v>201</v>
      </c>
      <c r="U31" s="850">
        <v>171</v>
      </c>
      <c r="V31" s="79"/>
      <c r="W31" s="79"/>
      <c r="X31" s="79"/>
      <c r="Y31" s="161"/>
      <c r="Z31" s="3"/>
    </row>
    <row r="32" spans="1:26" ht="15" customHeight="1" x14ac:dyDescent="0.3">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sheetData>
  <mergeCells count="44">
    <mergeCell ref="O6:U6"/>
    <mergeCell ref="O20:U20"/>
    <mergeCell ref="F6:L6"/>
    <mergeCell ref="B31:C31"/>
    <mergeCell ref="D31:E31"/>
    <mergeCell ref="F20:L20"/>
    <mergeCell ref="B28:C28"/>
    <mergeCell ref="D28:E28"/>
    <mergeCell ref="B29:C29"/>
    <mergeCell ref="D29:E29"/>
    <mergeCell ref="B30:C30"/>
    <mergeCell ref="D30:E30"/>
    <mergeCell ref="B25:C25"/>
    <mergeCell ref="D25:E25"/>
    <mergeCell ref="B26:C26"/>
    <mergeCell ref="D26:E26"/>
    <mergeCell ref="B27:C27"/>
    <mergeCell ref="D27:E27"/>
    <mergeCell ref="B12:C12"/>
    <mergeCell ref="B9:C9"/>
    <mergeCell ref="D11:E11"/>
    <mergeCell ref="D12:E12"/>
    <mergeCell ref="B20:C22"/>
    <mergeCell ref="D20:E22"/>
    <mergeCell ref="B14:C14"/>
    <mergeCell ref="B13:C13"/>
    <mergeCell ref="B15:C15"/>
    <mergeCell ref="D17:E17"/>
    <mergeCell ref="B17:C17"/>
    <mergeCell ref="D16:E16"/>
    <mergeCell ref="B16:C16"/>
    <mergeCell ref="B24:C24"/>
    <mergeCell ref="D6:E8"/>
    <mergeCell ref="D9:E9"/>
    <mergeCell ref="D10:E10"/>
    <mergeCell ref="B10:C10"/>
    <mergeCell ref="B11:C11"/>
    <mergeCell ref="B6:C8"/>
    <mergeCell ref="D24:E24"/>
    <mergeCell ref="D13:E13"/>
    <mergeCell ref="D14:E14"/>
    <mergeCell ref="D15:E15"/>
    <mergeCell ref="B23:C23"/>
    <mergeCell ref="D23:E23"/>
  </mergeCells>
  <dataValidations disablePrompts="1" count="4">
    <dataValidation allowBlank="1" showInputMessage="1" showErrorMessage="1" prompt="6° 17' 40.1424''" sqref="JS65512 TO65512 ADK65512 ANG65512 AXC65512 BGY65512 BQU65512 CAQ65512 CKM65512 CUI65512 DEE65512 DOA65512 DXW65512 EHS65512 ERO65512 FBK65512 FLG65512 FVC65512 GEY65512 GOU65512 GYQ65512 HIM65512 HSI65512 ICE65512 IMA65512 IVW65512 JFS65512 JPO65512 JZK65512 KJG65512 KTC65512 LCY65512 LMU65512 LWQ65512 MGM65512 MQI65512 NAE65512 NKA65512 NTW65512 ODS65512 ONO65512 OXK65512 PHG65512 PRC65512 QAY65512 QKU65512 QUQ65512 REM65512 ROI65512 RYE65512 SIA65512 SRW65512 TBS65512 TLO65512 TVK65512 UFG65512 UPC65512 UYY65512 VIU65512 VSQ65512 WCM65512 WMI65512 WWE65512 JS131048 TO131048 ADK131048 ANG131048 AXC131048 BGY131048 BQU131048 CAQ131048 CKM131048 CUI131048 DEE131048 DOA131048 DXW131048 EHS131048 ERO131048 FBK131048 FLG131048 FVC131048 GEY131048 GOU131048 GYQ131048 HIM131048 HSI131048 ICE131048 IMA131048 IVW131048 JFS131048 JPO131048 JZK131048 KJG131048 KTC131048 LCY131048 LMU131048 LWQ131048 MGM131048 MQI131048 NAE131048 NKA131048 NTW131048 ODS131048 ONO131048 OXK131048 PHG131048 PRC131048 QAY131048 QKU131048 QUQ131048 REM131048 ROI131048 RYE131048 SIA131048 SRW131048 TBS131048 TLO131048 TVK131048 UFG131048 UPC131048 UYY131048 VIU131048 VSQ131048 WCM131048 WMI131048 WWE131048 JS196584 TO196584 ADK196584 ANG196584 AXC196584 BGY196584 BQU196584 CAQ196584 CKM196584 CUI196584 DEE196584 DOA196584 DXW196584 EHS196584 ERO196584 FBK196584 FLG196584 FVC196584 GEY196584 GOU196584 GYQ196584 HIM196584 HSI196584 ICE196584 IMA196584 IVW196584 JFS196584 JPO196584 JZK196584 KJG196584 KTC196584 LCY196584 LMU196584 LWQ196584 MGM196584 MQI196584 NAE196584 NKA196584 NTW196584 ODS196584 ONO196584 OXK196584 PHG196584 PRC196584 QAY196584 QKU196584 QUQ196584 REM196584 ROI196584 RYE196584 SIA196584 SRW196584 TBS196584 TLO196584 TVK196584 UFG196584 UPC196584 UYY196584 VIU196584 VSQ196584 WCM196584 WMI196584 WWE196584 JS262120 TO262120 ADK262120 ANG262120 AXC262120 BGY262120 BQU262120 CAQ262120 CKM262120 CUI262120 DEE262120 DOA262120 DXW262120 EHS262120 ERO262120 FBK262120 FLG262120 FVC262120 GEY262120 GOU262120 GYQ262120 HIM262120 HSI262120 ICE262120 IMA262120 IVW262120 JFS262120 JPO262120 JZK262120 KJG262120 KTC262120 LCY262120 LMU262120 LWQ262120 MGM262120 MQI262120 NAE262120 NKA262120 NTW262120 ODS262120 ONO262120 OXK262120 PHG262120 PRC262120 QAY262120 QKU262120 QUQ262120 REM262120 ROI262120 RYE262120 SIA262120 SRW262120 TBS262120 TLO262120 TVK262120 UFG262120 UPC262120 UYY262120 VIU262120 VSQ262120 WCM262120 WMI262120 WWE262120 JS327656 TO327656 ADK327656 ANG327656 AXC327656 BGY327656 BQU327656 CAQ327656 CKM327656 CUI327656 DEE327656 DOA327656 DXW327656 EHS327656 ERO327656 FBK327656 FLG327656 FVC327656 GEY327656 GOU327656 GYQ327656 HIM327656 HSI327656 ICE327656 IMA327656 IVW327656 JFS327656 JPO327656 JZK327656 KJG327656 KTC327656 LCY327656 LMU327656 LWQ327656 MGM327656 MQI327656 NAE327656 NKA327656 NTW327656 ODS327656 ONO327656 OXK327656 PHG327656 PRC327656 QAY327656 QKU327656 QUQ327656 REM327656 ROI327656 RYE327656 SIA327656 SRW327656 TBS327656 TLO327656 TVK327656 UFG327656 UPC327656 UYY327656 VIU327656 VSQ327656 WCM327656 WMI327656 WWE327656 JS393192 TO393192 ADK393192 ANG393192 AXC393192 BGY393192 BQU393192 CAQ393192 CKM393192 CUI393192 DEE393192 DOA393192 DXW393192 EHS393192 ERO393192 FBK393192 FLG393192 FVC393192 GEY393192 GOU393192 GYQ393192 HIM393192 HSI393192 ICE393192 IMA393192 IVW393192 JFS393192 JPO393192 JZK393192 KJG393192 KTC393192 LCY393192 LMU393192 LWQ393192 MGM393192 MQI393192 NAE393192 NKA393192 NTW393192 ODS393192 ONO393192 OXK393192 PHG393192 PRC393192 QAY393192 QKU393192 QUQ393192 REM393192 ROI393192 RYE393192 SIA393192 SRW393192 TBS393192 TLO393192 TVK393192 UFG393192 UPC393192 UYY393192 VIU393192 VSQ393192 WCM393192 WMI393192 WWE393192 JS458728 TO458728 ADK458728 ANG458728 AXC458728 BGY458728 BQU458728 CAQ458728 CKM458728 CUI458728 DEE458728 DOA458728 DXW458728 EHS458728 ERO458728 FBK458728 FLG458728 FVC458728 GEY458728 GOU458728 GYQ458728 HIM458728 HSI458728 ICE458728 IMA458728 IVW458728 JFS458728 JPO458728 JZK458728 KJG458728 KTC458728 LCY458728 LMU458728 LWQ458728 MGM458728 MQI458728 NAE458728 NKA458728 NTW458728 ODS458728 ONO458728 OXK458728 PHG458728 PRC458728 QAY458728 QKU458728 QUQ458728 REM458728 ROI458728 RYE458728 SIA458728 SRW458728 TBS458728 TLO458728 TVK458728 UFG458728 UPC458728 UYY458728 VIU458728 VSQ458728 WCM458728 WMI458728 WWE458728 JS524264 TO524264 ADK524264 ANG524264 AXC524264 BGY524264 BQU524264 CAQ524264 CKM524264 CUI524264 DEE524264 DOA524264 DXW524264 EHS524264 ERO524264 FBK524264 FLG524264 FVC524264 GEY524264 GOU524264 GYQ524264 HIM524264 HSI524264 ICE524264 IMA524264 IVW524264 JFS524264 JPO524264 JZK524264 KJG524264 KTC524264 LCY524264 LMU524264 LWQ524264 MGM524264 MQI524264 NAE524264 NKA524264 NTW524264 ODS524264 ONO524264 OXK524264 PHG524264 PRC524264 QAY524264 QKU524264 QUQ524264 REM524264 ROI524264 RYE524264 SIA524264 SRW524264 TBS524264 TLO524264 TVK524264 UFG524264 UPC524264 UYY524264 VIU524264 VSQ524264 WCM524264 WMI524264 WWE524264 JS589800 TO589800 ADK589800 ANG589800 AXC589800 BGY589800 BQU589800 CAQ589800 CKM589800 CUI589800 DEE589800 DOA589800 DXW589800 EHS589800 ERO589800 FBK589800 FLG589800 FVC589800 GEY589800 GOU589800 GYQ589800 HIM589800 HSI589800 ICE589800 IMA589800 IVW589800 JFS589800 JPO589800 JZK589800 KJG589800 KTC589800 LCY589800 LMU589800 LWQ589800 MGM589800 MQI589800 NAE589800 NKA589800 NTW589800 ODS589800 ONO589800 OXK589800 PHG589800 PRC589800 QAY589800 QKU589800 QUQ589800 REM589800 ROI589800 RYE589800 SIA589800 SRW589800 TBS589800 TLO589800 TVK589800 UFG589800 UPC589800 UYY589800 VIU589800 VSQ589800 WCM589800 WMI589800 WWE589800 JS655336 TO655336 ADK655336 ANG655336 AXC655336 BGY655336 BQU655336 CAQ655336 CKM655336 CUI655336 DEE655336 DOA655336 DXW655336 EHS655336 ERO655336 FBK655336 FLG655336 FVC655336 GEY655336 GOU655336 GYQ655336 HIM655336 HSI655336 ICE655336 IMA655336 IVW655336 JFS655336 JPO655336 JZK655336 KJG655336 KTC655336 LCY655336 LMU655336 LWQ655336 MGM655336 MQI655336 NAE655336 NKA655336 NTW655336 ODS655336 ONO655336 OXK655336 PHG655336 PRC655336 QAY655336 QKU655336 QUQ655336 REM655336 ROI655336 RYE655336 SIA655336 SRW655336 TBS655336 TLO655336 TVK655336 UFG655336 UPC655336 UYY655336 VIU655336 VSQ655336 WCM655336 WMI655336 WWE655336 JS720872 TO720872 ADK720872 ANG720872 AXC720872 BGY720872 BQU720872 CAQ720872 CKM720872 CUI720872 DEE720872 DOA720872 DXW720872 EHS720872 ERO720872 FBK720872 FLG720872 FVC720872 GEY720872 GOU720872 GYQ720872 HIM720872 HSI720872 ICE720872 IMA720872 IVW720872 JFS720872 JPO720872 JZK720872 KJG720872 KTC720872 LCY720872 LMU720872 LWQ720872 MGM720872 MQI720872 NAE720872 NKA720872 NTW720872 ODS720872 ONO720872 OXK720872 PHG720872 PRC720872 QAY720872 QKU720872 QUQ720872 REM720872 ROI720872 RYE720872 SIA720872 SRW720872 TBS720872 TLO720872 TVK720872 UFG720872 UPC720872 UYY720872 VIU720872 VSQ720872 WCM720872 WMI720872 WWE720872 JS786408 TO786408 ADK786408 ANG786408 AXC786408 BGY786408 BQU786408 CAQ786408 CKM786408 CUI786408 DEE786408 DOA786408 DXW786408 EHS786408 ERO786408 FBK786408 FLG786408 FVC786408 GEY786408 GOU786408 GYQ786408 HIM786408 HSI786408 ICE786408 IMA786408 IVW786408 JFS786408 JPO786408 JZK786408 KJG786408 KTC786408 LCY786408 LMU786408 LWQ786408 MGM786408 MQI786408 NAE786408 NKA786408 NTW786408 ODS786408 ONO786408 OXK786408 PHG786408 PRC786408 QAY786408 QKU786408 QUQ786408 REM786408 ROI786408 RYE786408 SIA786408 SRW786408 TBS786408 TLO786408 TVK786408 UFG786408 UPC786408 UYY786408 VIU786408 VSQ786408 WCM786408 WMI786408 WWE786408 JS851944 TO851944 ADK851944 ANG851944 AXC851944 BGY851944 BQU851944 CAQ851944 CKM851944 CUI851944 DEE851944 DOA851944 DXW851944 EHS851944 ERO851944 FBK851944 FLG851944 FVC851944 GEY851944 GOU851944 GYQ851944 HIM851944 HSI851944 ICE851944 IMA851944 IVW851944 JFS851944 JPO851944 JZK851944 KJG851944 KTC851944 LCY851944 LMU851944 LWQ851944 MGM851944 MQI851944 NAE851944 NKA851944 NTW851944 ODS851944 ONO851944 OXK851944 PHG851944 PRC851944 QAY851944 QKU851944 QUQ851944 REM851944 ROI851944 RYE851944 SIA851944 SRW851944 TBS851944 TLO851944 TVK851944 UFG851944 UPC851944 UYY851944 VIU851944 VSQ851944 WCM851944 WMI851944 WWE851944 JS917480 TO917480 ADK917480 ANG917480 AXC917480 BGY917480 BQU917480 CAQ917480 CKM917480 CUI917480 DEE917480 DOA917480 DXW917480 EHS917480 ERO917480 FBK917480 FLG917480 FVC917480 GEY917480 GOU917480 GYQ917480 HIM917480 HSI917480 ICE917480 IMA917480 IVW917480 JFS917480 JPO917480 JZK917480 KJG917480 KTC917480 LCY917480 LMU917480 LWQ917480 MGM917480 MQI917480 NAE917480 NKA917480 NTW917480 ODS917480 ONO917480 OXK917480 PHG917480 PRC917480 QAY917480 QKU917480 QUQ917480 REM917480 ROI917480 RYE917480 SIA917480 SRW917480 TBS917480 TLO917480 TVK917480 UFG917480 UPC917480 UYY917480 VIU917480 VSQ917480 WCM917480 WMI917480 WWE917480 JS983016 TO983016 ADK983016 ANG983016 AXC983016 BGY983016 BQU983016 CAQ983016 CKM983016 CUI983016 DEE983016 DOA983016 DXW983016 EHS983016 ERO983016 FBK983016 FLG983016 FVC983016 GEY983016 GOU983016 GYQ983016 HIM983016 HSI983016 ICE983016 IMA983016 IVW983016 JFS983016 JPO983016 JZK983016 KJG983016 KTC983016 LCY983016 LMU983016 LWQ983016 MGM983016 MQI983016 NAE983016 NKA983016 NTW983016 ODS983016 ONO983016 OXK983016 PHG983016 PRC983016 QAY983016 QKU983016 QUQ983016 REM983016 ROI983016 RYE983016 SIA983016 SRW983016 TBS983016 TLO983016 TVK983016 UFG983016 UPC983016 UYY983016 VIU983016 VSQ983016 WCM983016 WMI983016 WWE983016"/>
    <dataValidation allowBlank="1" showInputMessage="1" showErrorMessage="1" prompt="53° 20' 52.4436''" sqref="JQ65512 TM65512 ADI65512 ANE65512 AXA65512 BGW65512 BQS65512 CAO65512 CKK65512 CUG65512 DEC65512 DNY65512 DXU65512 EHQ65512 ERM65512 FBI65512 FLE65512 FVA65512 GEW65512 GOS65512 GYO65512 HIK65512 HSG65512 ICC65512 ILY65512 IVU65512 JFQ65512 JPM65512 JZI65512 KJE65512 KTA65512 LCW65512 LMS65512 LWO65512 MGK65512 MQG65512 NAC65512 NJY65512 NTU65512 ODQ65512 ONM65512 OXI65512 PHE65512 PRA65512 QAW65512 QKS65512 QUO65512 REK65512 ROG65512 RYC65512 SHY65512 SRU65512 TBQ65512 TLM65512 TVI65512 UFE65512 UPA65512 UYW65512 VIS65512 VSO65512 WCK65512 WMG65512 WWC65512 JQ131048 TM131048 ADI131048 ANE131048 AXA131048 BGW131048 BQS131048 CAO131048 CKK131048 CUG131048 DEC131048 DNY131048 DXU131048 EHQ131048 ERM131048 FBI131048 FLE131048 FVA131048 GEW131048 GOS131048 GYO131048 HIK131048 HSG131048 ICC131048 ILY131048 IVU131048 JFQ131048 JPM131048 JZI131048 KJE131048 KTA131048 LCW131048 LMS131048 LWO131048 MGK131048 MQG131048 NAC131048 NJY131048 NTU131048 ODQ131048 ONM131048 OXI131048 PHE131048 PRA131048 QAW131048 QKS131048 QUO131048 REK131048 ROG131048 RYC131048 SHY131048 SRU131048 TBQ131048 TLM131048 TVI131048 UFE131048 UPA131048 UYW131048 VIS131048 VSO131048 WCK131048 WMG131048 WWC131048 JQ196584 TM196584 ADI196584 ANE196584 AXA196584 BGW196584 BQS196584 CAO196584 CKK196584 CUG196584 DEC196584 DNY196584 DXU196584 EHQ196584 ERM196584 FBI196584 FLE196584 FVA196584 GEW196584 GOS196584 GYO196584 HIK196584 HSG196584 ICC196584 ILY196584 IVU196584 JFQ196584 JPM196584 JZI196584 KJE196584 KTA196584 LCW196584 LMS196584 LWO196584 MGK196584 MQG196584 NAC196584 NJY196584 NTU196584 ODQ196584 ONM196584 OXI196584 PHE196584 PRA196584 QAW196584 QKS196584 QUO196584 REK196584 ROG196584 RYC196584 SHY196584 SRU196584 TBQ196584 TLM196584 TVI196584 UFE196584 UPA196584 UYW196584 VIS196584 VSO196584 WCK196584 WMG196584 WWC196584 JQ262120 TM262120 ADI262120 ANE262120 AXA262120 BGW262120 BQS262120 CAO262120 CKK262120 CUG262120 DEC262120 DNY262120 DXU262120 EHQ262120 ERM262120 FBI262120 FLE262120 FVA262120 GEW262120 GOS262120 GYO262120 HIK262120 HSG262120 ICC262120 ILY262120 IVU262120 JFQ262120 JPM262120 JZI262120 KJE262120 KTA262120 LCW262120 LMS262120 LWO262120 MGK262120 MQG262120 NAC262120 NJY262120 NTU262120 ODQ262120 ONM262120 OXI262120 PHE262120 PRA262120 QAW262120 QKS262120 QUO262120 REK262120 ROG262120 RYC262120 SHY262120 SRU262120 TBQ262120 TLM262120 TVI262120 UFE262120 UPA262120 UYW262120 VIS262120 VSO262120 WCK262120 WMG262120 WWC262120 JQ327656 TM327656 ADI327656 ANE327656 AXA327656 BGW327656 BQS327656 CAO327656 CKK327656 CUG327656 DEC327656 DNY327656 DXU327656 EHQ327656 ERM327656 FBI327656 FLE327656 FVA327656 GEW327656 GOS327656 GYO327656 HIK327656 HSG327656 ICC327656 ILY327656 IVU327656 JFQ327656 JPM327656 JZI327656 KJE327656 KTA327656 LCW327656 LMS327656 LWO327656 MGK327656 MQG327656 NAC327656 NJY327656 NTU327656 ODQ327656 ONM327656 OXI327656 PHE327656 PRA327656 QAW327656 QKS327656 QUO327656 REK327656 ROG327656 RYC327656 SHY327656 SRU327656 TBQ327656 TLM327656 TVI327656 UFE327656 UPA327656 UYW327656 VIS327656 VSO327656 WCK327656 WMG327656 WWC327656 JQ393192 TM393192 ADI393192 ANE393192 AXA393192 BGW393192 BQS393192 CAO393192 CKK393192 CUG393192 DEC393192 DNY393192 DXU393192 EHQ393192 ERM393192 FBI393192 FLE393192 FVA393192 GEW393192 GOS393192 GYO393192 HIK393192 HSG393192 ICC393192 ILY393192 IVU393192 JFQ393192 JPM393192 JZI393192 KJE393192 KTA393192 LCW393192 LMS393192 LWO393192 MGK393192 MQG393192 NAC393192 NJY393192 NTU393192 ODQ393192 ONM393192 OXI393192 PHE393192 PRA393192 QAW393192 QKS393192 QUO393192 REK393192 ROG393192 RYC393192 SHY393192 SRU393192 TBQ393192 TLM393192 TVI393192 UFE393192 UPA393192 UYW393192 VIS393192 VSO393192 WCK393192 WMG393192 WWC393192 JQ458728 TM458728 ADI458728 ANE458728 AXA458728 BGW458728 BQS458728 CAO458728 CKK458728 CUG458728 DEC458728 DNY458728 DXU458728 EHQ458728 ERM458728 FBI458728 FLE458728 FVA458728 GEW458728 GOS458728 GYO458728 HIK458728 HSG458728 ICC458728 ILY458728 IVU458728 JFQ458728 JPM458728 JZI458728 KJE458728 KTA458728 LCW458728 LMS458728 LWO458728 MGK458728 MQG458728 NAC458728 NJY458728 NTU458728 ODQ458728 ONM458728 OXI458728 PHE458728 PRA458728 QAW458728 QKS458728 QUO458728 REK458728 ROG458728 RYC458728 SHY458728 SRU458728 TBQ458728 TLM458728 TVI458728 UFE458728 UPA458728 UYW458728 VIS458728 VSO458728 WCK458728 WMG458728 WWC458728 JQ524264 TM524264 ADI524264 ANE524264 AXA524264 BGW524264 BQS524264 CAO524264 CKK524264 CUG524264 DEC524264 DNY524264 DXU524264 EHQ524264 ERM524264 FBI524264 FLE524264 FVA524264 GEW524264 GOS524264 GYO524264 HIK524264 HSG524264 ICC524264 ILY524264 IVU524264 JFQ524264 JPM524264 JZI524264 KJE524264 KTA524264 LCW524264 LMS524264 LWO524264 MGK524264 MQG524264 NAC524264 NJY524264 NTU524264 ODQ524264 ONM524264 OXI524264 PHE524264 PRA524264 QAW524264 QKS524264 QUO524264 REK524264 ROG524264 RYC524264 SHY524264 SRU524264 TBQ524264 TLM524264 TVI524264 UFE524264 UPA524264 UYW524264 VIS524264 VSO524264 WCK524264 WMG524264 WWC524264 JQ589800 TM589800 ADI589800 ANE589800 AXA589800 BGW589800 BQS589800 CAO589800 CKK589800 CUG589800 DEC589800 DNY589800 DXU589800 EHQ589800 ERM589800 FBI589800 FLE589800 FVA589800 GEW589800 GOS589800 GYO589800 HIK589800 HSG589800 ICC589800 ILY589800 IVU589800 JFQ589800 JPM589800 JZI589800 KJE589800 KTA589800 LCW589800 LMS589800 LWO589800 MGK589800 MQG589800 NAC589800 NJY589800 NTU589800 ODQ589800 ONM589800 OXI589800 PHE589800 PRA589800 QAW589800 QKS589800 QUO589800 REK589800 ROG589800 RYC589800 SHY589800 SRU589800 TBQ589800 TLM589800 TVI589800 UFE589800 UPA589800 UYW589800 VIS589800 VSO589800 WCK589800 WMG589800 WWC589800 JQ655336 TM655336 ADI655336 ANE655336 AXA655336 BGW655336 BQS655336 CAO655336 CKK655336 CUG655336 DEC655336 DNY655336 DXU655336 EHQ655336 ERM655336 FBI655336 FLE655336 FVA655336 GEW655336 GOS655336 GYO655336 HIK655336 HSG655336 ICC655336 ILY655336 IVU655336 JFQ655336 JPM655336 JZI655336 KJE655336 KTA655336 LCW655336 LMS655336 LWO655336 MGK655336 MQG655336 NAC655336 NJY655336 NTU655336 ODQ655336 ONM655336 OXI655336 PHE655336 PRA655336 QAW655336 QKS655336 QUO655336 REK655336 ROG655336 RYC655336 SHY655336 SRU655336 TBQ655336 TLM655336 TVI655336 UFE655336 UPA655336 UYW655336 VIS655336 VSO655336 WCK655336 WMG655336 WWC655336 JQ720872 TM720872 ADI720872 ANE720872 AXA720872 BGW720872 BQS720872 CAO720872 CKK720872 CUG720872 DEC720872 DNY720872 DXU720872 EHQ720872 ERM720872 FBI720872 FLE720872 FVA720872 GEW720872 GOS720872 GYO720872 HIK720872 HSG720872 ICC720872 ILY720872 IVU720872 JFQ720872 JPM720872 JZI720872 KJE720872 KTA720872 LCW720872 LMS720872 LWO720872 MGK720872 MQG720872 NAC720872 NJY720872 NTU720872 ODQ720872 ONM720872 OXI720872 PHE720872 PRA720872 QAW720872 QKS720872 QUO720872 REK720872 ROG720872 RYC720872 SHY720872 SRU720872 TBQ720872 TLM720872 TVI720872 UFE720872 UPA720872 UYW720872 VIS720872 VSO720872 WCK720872 WMG720872 WWC720872 JQ786408 TM786408 ADI786408 ANE786408 AXA786408 BGW786408 BQS786408 CAO786408 CKK786408 CUG786408 DEC786408 DNY786408 DXU786408 EHQ786408 ERM786408 FBI786408 FLE786408 FVA786408 GEW786408 GOS786408 GYO786408 HIK786408 HSG786408 ICC786408 ILY786408 IVU786408 JFQ786408 JPM786408 JZI786408 KJE786408 KTA786408 LCW786408 LMS786408 LWO786408 MGK786408 MQG786408 NAC786408 NJY786408 NTU786408 ODQ786408 ONM786408 OXI786408 PHE786408 PRA786408 QAW786408 QKS786408 QUO786408 REK786408 ROG786408 RYC786408 SHY786408 SRU786408 TBQ786408 TLM786408 TVI786408 UFE786408 UPA786408 UYW786408 VIS786408 VSO786408 WCK786408 WMG786408 WWC786408 JQ851944 TM851944 ADI851944 ANE851944 AXA851944 BGW851944 BQS851944 CAO851944 CKK851944 CUG851944 DEC851944 DNY851944 DXU851944 EHQ851944 ERM851944 FBI851944 FLE851944 FVA851944 GEW851944 GOS851944 GYO851944 HIK851944 HSG851944 ICC851944 ILY851944 IVU851944 JFQ851944 JPM851944 JZI851944 KJE851944 KTA851944 LCW851944 LMS851944 LWO851944 MGK851944 MQG851944 NAC851944 NJY851944 NTU851944 ODQ851944 ONM851944 OXI851944 PHE851944 PRA851944 QAW851944 QKS851944 QUO851944 REK851944 ROG851944 RYC851944 SHY851944 SRU851944 TBQ851944 TLM851944 TVI851944 UFE851944 UPA851944 UYW851944 VIS851944 VSO851944 WCK851944 WMG851944 WWC851944 JQ917480 TM917480 ADI917480 ANE917480 AXA917480 BGW917480 BQS917480 CAO917480 CKK917480 CUG917480 DEC917480 DNY917480 DXU917480 EHQ917480 ERM917480 FBI917480 FLE917480 FVA917480 GEW917480 GOS917480 GYO917480 HIK917480 HSG917480 ICC917480 ILY917480 IVU917480 JFQ917480 JPM917480 JZI917480 KJE917480 KTA917480 LCW917480 LMS917480 LWO917480 MGK917480 MQG917480 NAC917480 NJY917480 NTU917480 ODQ917480 ONM917480 OXI917480 PHE917480 PRA917480 QAW917480 QKS917480 QUO917480 REK917480 ROG917480 RYC917480 SHY917480 SRU917480 TBQ917480 TLM917480 TVI917480 UFE917480 UPA917480 UYW917480 VIS917480 VSO917480 WCK917480 WMG917480 WWC917480 JQ983016 TM983016 ADI983016 ANE983016 AXA983016 BGW983016 BQS983016 CAO983016 CKK983016 CUG983016 DEC983016 DNY983016 DXU983016 EHQ983016 ERM983016 FBI983016 FLE983016 FVA983016 GEW983016 GOS983016 GYO983016 HIK983016 HSG983016 ICC983016 ILY983016 IVU983016 JFQ983016 JPM983016 JZI983016 KJE983016 KTA983016 LCW983016 LMS983016 LWO983016 MGK983016 MQG983016 NAC983016 NJY983016 NTU983016 ODQ983016 ONM983016 OXI983016 PHE983016 PRA983016 QAW983016 QKS983016 QUO983016 REK983016 ROG983016 RYC983016 SHY983016 SRU983016 TBQ983016 TLM983016 TVI983016 UFE983016 UPA983016 UYW983016 VIS983016 VSO983016 WCK983016 WMG983016 WWC983016"/>
    <dataValidation allowBlank="1" showInputMessage="1" showErrorMessage="1" prompt="-6.294484" sqref="JS65508 TO65508 ADK65508 ANG65508 AXC65508 BGY65508 BQU65508 CAQ65508 CKM65508 CUI65508 DEE65508 DOA65508 DXW65508 EHS65508 ERO65508 FBK65508 FLG65508 FVC65508 GEY65508 GOU65508 GYQ65508 HIM65508 HSI65508 ICE65508 IMA65508 IVW65508 JFS65508 JPO65508 JZK65508 KJG65508 KTC65508 LCY65508 LMU65508 LWQ65508 MGM65508 MQI65508 NAE65508 NKA65508 NTW65508 ODS65508 ONO65508 OXK65508 PHG65508 PRC65508 QAY65508 QKU65508 QUQ65508 REM65508 ROI65508 RYE65508 SIA65508 SRW65508 TBS65508 TLO65508 TVK65508 UFG65508 UPC65508 UYY65508 VIU65508 VSQ65508 WCM65508 WMI65508 WWE65508 JS131044 TO131044 ADK131044 ANG131044 AXC131044 BGY131044 BQU131044 CAQ131044 CKM131044 CUI131044 DEE131044 DOA131044 DXW131044 EHS131044 ERO131044 FBK131044 FLG131044 FVC131044 GEY131044 GOU131044 GYQ131044 HIM131044 HSI131044 ICE131044 IMA131044 IVW131044 JFS131044 JPO131044 JZK131044 KJG131044 KTC131044 LCY131044 LMU131044 LWQ131044 MGM131044 MQI131044 NAE131044 NKA131044 NTW131044 ODS131044 ONO131044 OXK131044 PHG131044 PRC131044 QAY131044 QKU131044 QUQ131044 REM131044 ROI131044 RYE131044 SIA131044 SRW131044 TBS131044 TLO131044 TVK131044 UFG131044 UPC131044 UYY131044 VIU131044 VSQ131044 WCM131044 WMI131044 WWE131044 JS196580 TO196580 ADK196580 ANG196580 AXC196580 BGY196580 BQU196580 CAQ196580 CKM196580 CUI196580 DEE196580 DOA196580 DXW196580 EHS196580 ERO196580 FBK196580 FLG196580 FVC196580 GEY196580 GOU196580 GYQ196580 HIM196580 HSI196580 ICE196580 IMA196580 IVW196580 JFS196580 JPO196580 JZK196580 KJG196580 KTC196580 LCY196580 LMU196580 LWQ196580 MGM196580 MQI196580 NAE196580 NKA196580 NTW196580 ODS196580 ONO196580 OXK196580 PHG196580 PRC196580 QAY196580 QKU196580 QUQ196580 REM196580 ROI196580 RYE196580 SIA196580 SRW196580 TBS196580 TLO196580 TVK196580 UFG196580 UPC196580 UYY196580 VIU196580 VSQ196580 WCM196580 WMI196580 WWE196580 JS262116 TO262116 ADK262116 ANG262116 AXC262116 BGY262116 BQU262116 CAQ262116 CKM262116 CUI262116 DEE262116 DOA262116 DXW262116 EHS262116 ERO262116 FBK262116 FLG262116 FVC262116 GEY262116 GOU262116 GYQ262116 HIM262116 HSI262116 ICE262116 IMA262116 IVW262116 JFS262116 JPO262116 JZK262116 KJG262116 KTC262116 LCY262116 LMU262116 LWQ262116 MGM262116 MQI262116 NAE262116 NKA262116 NTW262116 ODS262116 ONO262116 OXK262116 PHG262116 PRC262116 QAY262116 QKU262116 QUQ262116 REM262116 ROI262116 RYE262116 SIA262116 SRW262116 TBS262116 TLO262116 TVK262116 UFG262116 UPC262116 UYY262116 VIU262116 VSQ262116 WCM262116 WMI262116 WWE262116 JS327652 TO327652 ADK327652 ANG327652 AXC327652 BGY327652 BQU327652 CAQ327652 CKM327652 CUI327652 DEE327652 DOA327652 DXW327652 EHS327652 ERO327652 FBK327652 FLG327652 FVC327652 GEY327652 GOU327652 GYQ327652 HIM327652 HSI327652 ICE327652 IMA327652 IVW327652 JFS327652 JPO327652 JZK327652 KJG327652 KTC327652 LCY327652 LMU327652 LWQ327652 MGM327652 MQI327652 NAE327652 NKA327652 NTW327652 ODS327652 ONO327652 OXK327652 PHG327652 PRC327652 QAY327652 QKU327652 QUQ327652 REM327652 ROI327652 RYE327652 SIA327652 SRW327652 TBS327652 TLO327652 TVK327652 UFG327652 UPC327652 UYY327652 VIU327652 VSQ327652 WCM327652 WMI327652 WWE327652 JS393188 TO393188 ADK393188 ANG393188 AXC393188 BGY393188 BQU393188 CAQ393188 CKM393188 CUI393188 DEE393188 DOA393188 DXW393188 EHS393188 ERO393188 FBK393188 FLG393188 FVC393188 GEY393188 GOU393188 GYQ393188 HIM393188 HSI393188 ICE393188 IMA393188 IVW393188 JFS393188 JPO393188 JZK393188 KJG393188 KTC393188 LCY393188 LMU393188 LWQ393188 MGM393188 MQI393188 NAE393188 NKA393188 NTW393188 ODS393188 ONO393188 OXK393188 PHG393188 PRC393188 QAY393188 QKU393188 QUQ393188 REM393188 ROI393188 RYE393188 SIA393188 SRW393188 TBS393188 TLO393188 TVK393188 UFG393188 UPC393188 UYY393188 VIU393188 VSQ393188 WCM393188 WMI393188 WWE393188 JS458724 TO458724 ADK458724 ANG458724 AXC458724 BGY458724 BQU458724 CAQ458724 CKM458724 CUI458724 DEE458724 DOA458724 DXW458724 EHS458724 ERO458724 FBK458724 FLG458724 FVC458724 GEY458724 GOU458724 GYQ458724 HIM458724 HSI458724 ICE458724 IMA458724 IVW458724 JFS458724 JPO458724 JZK458724 KJG458724 KTC458724 LCY458724 LMU458724 LWQ458724 MGM458724 MQI458724 NAE458724 NKA458724 NTW458724 ODS458724 ONO458724 OXK458724 PHG458724 PRC458724 QAY458724 QKU458724 QUQ458724 REM458724 ROI458724 RYE458724 SIA458724 SRW458724 TBS458724 TLO458724 TVK458724 UFG458724 UPC458724 UYY458724 VIU458724 VSQ458724 WCM458724 WMI458724 WWE458724 JS524260 TO524260 ADK524260 ANG524260 AXC524260 BGY524260 BQU524260 CAQ524260 CKM524260 CUI524260 DEE524260 DOA524260 DXW524260 EHS524260 ERO524260 FBK524260 FLG524260 FVC524260 GEY524260 GOU524260 GYQ524260 HIM524260 HSI524260 ICE524260 IMA524260 IVW524260 JFS524260 JPO524260 JZK524260 KJG524260 KTC524260 LCY524260 LMU524260 LWQ524260 MGM524260 MQI524260 NAE524260 NKA524260 NTW524260 ODS524260 ONO524260 OXK524260 PHG524260 PRC524260 QAY524260 QKU524260 QUQ524260 REM524260 ROI524260 RYE524260 SIA524260 SRW524260 TBS524260 TLO524260 TVK524260 UFG524260 UPC524260 UYY524260 VIU524260 VSQ524260 WCM524260 WMI524260 WWE524260 JS589796 TO589796 ADK589796 ANG589796 AXC589796 BGY589796 BQU589796 CAQ589796 CKM589796 CUI589796 DEE589796 DOA589796 DXW589796 EHS589796 ERO589796 FBK589796 FLG589796 FVC589796 GEY589796 GOU589796 GYQ589796 HIM589796 HSI589796 ICE589796 IMA589796 IVW589796 JFS589796 JPO589796 JZK589796 KJG589796 KTC589796 LCY589796 LMU589796 LWQ589796 MGM589796 MQI589796 NAE589796 NKA589796 NTW589796 ODS589796 ONO589796 OXK589796 PHG589796 PRC589796 QAY589796 QKU589796 QUQ589796 REM589796 ROI589796 RYE589796 SIA589796 SRW589796 TBS589796 TLO589796 TVK589796 UFG589796 UPC589796 UYY589796 VIU589796 VSQ589796 WCM589796 WMI589796 WWE589796 JS655332 TO655332 ADK655332 ANG655332 AXC655332 BGY655332 BQU655332 CAQ655332 CKM655332 CUI655332 DEE655332 DOA655332 DXW655332 EHS655332 ERO655332 FBK655332 FLG655332 FVC655332 GEY655332 GOU655332 GYQ655332 HIM655332 HSI655332 ICE655332 IMA655332 IVW655332 JFS655332 JPO655332 JZK655332 KJG655332 KTC655332 LCY655332 LMU655332 LWQ655332 MGM655332 MQI655332 NAE655332 NKA655332 NTW655332 ODS655332 ONO655332 OXK655332 PHG655332 PRC655332 QAY655332 QKU655332 QUQ655332 REM655332 ROI655332 RYE655332 SIA655332 SRW655332 TBS655332 TLO655332 TVK655332 UFG655332 UPC655332 UYY655332 VIU655332 VSQ655332 WCM655332 WMI655332 WWE655332 JS720868 TO720868 ADK720868 ANG720868 AXC720868 BGY720868 BQU720868 CAQ720868 CKM720868 CUI720868 DEE720868 DOA720868 DXW720868 EHS720868 ERO720868 FBK720868 FLG720868 FVC720868 GEY720868 GOU720868 GYQ720868 HIM720868 HSI720868 ICE720868 IMA720868 IVW720868 JFS720868 JPO720868 JZK720868 KJG720868 KTC720868 LCY720868 LMU720868 LWQ720868 MGM720868 MQI720868 NAE720868 NKA720868 NTW720868 ODS720868 ONO720868 OXK720868 PHG720868 PRC720868 QAY720868 QKU720868 QUQ720868 REM720868 ROI720868 RYE720868 SIA720868 SRW720868 TBS720868 TLO720868 TVK720868 UFG720868 UPC720868 UYY720868 VIU720868 VSQ720868 WCM720868 WMI720868 WWE720868 JS786404 TO786404 ADK786404 ANG786404 AXC786404 BGY786404 BQU786404 CAQ786404 CKM786404 CUI786404 DEE786404 DOA786404 DXW786404 EHS786404 ERO786404 FBK786404 FLG786404 FVC786404 GEY786404 GOU786404 GYQ786404 HIM786404 HSI786404 ICE786404 IMA786404 IVW786404 JFS786404 JPO786404 JZK786404 KJG786404 KTC786404 LCY786404 LMU786404 LWQ786404 MGM786404 MQI786404 NAE786404 NKA786404 NTW786404 ODS786404 ONO786404 OXK786404 PHG786404 PRC786404 QAY786404 QKU786404 QUQ786404 REM786404 ROI786404 RYE786404 SIA786404 SRW786404 TBS786404 TLO786404 TVK786404 UFG786404 UPC786404 UYY786404 VIU786404 VSQ786404 WCM786404 WMI786404 WWE786404 JS851940 TO851940 ADK851940 ANG851940 AXC851940 BGY851940 BQU851940 CAQ851940 CKM851940 CUI851940 DEE851940 DOA851940 DXW851940 EHS851940 ERO851940 FBK851940 FLG851940 FVC851940 GEY851940 GOU851940 GYQ851940 HIM851940 HSI851940 ICE851940 IMA851940 IVW851940 JFS851940 JPO851940 JZK851940 KJG851940 KTC851940 LCY851940 LMU851940 LWQ851940 MGM851940 MQI851940 NAE851940 NKA851940 NTW851940 ODS851940 ONO851940 OXK851940 PHG851940 PRC851940 QAY851940 QKU851940 QUQ851940 REM851940 ROI851940 RYE851940 SIA851940 SRW851940 TBS851940 TLO851940 TVK851940 UFG851940 UPC851940 UYY851940 VIU851940 VSQ851940 WCM851940 WMI851940 WWE851940 JS917476 TO917476 ADK917476 ANG917476 AXC917476 BGY917476 BQU917476 CAQ917476 CKM917476 CUI917476 DEE917476 DOA917476 DXW917476 EHS917476 ERO917476 FBK917476 FLG917476 FVC917476 GEY917476 GOU917476 GYQ917476 HIM917476 HSI917476 ICE917476 IMA917476 IVW917476 JFS917476 JPO917476 JZK917476 KJG917476 KTC917476 LCY917476 LMU917476 LWQ917476 MGM917476 MQI917476 NAE917476 NKA917476 NTW917476 ODS917476 ONO917476 OXK917476 PHG917476 PRC917476 QAY917476 QKU917476 QUQ917476 REM917476 ROI917476 RYE917476 SIA917476 SRW917476 TBS917476 TLO917476 TVK917476 UFG917476 UPC917476 UYY917476 VIU917476 VSQ917476 WCM917476 WMI917476 WWE917476 JS983012 TO983012 ADK983012 ANG983012 AXC983012 BGY983012 BQU983012 CAQ983012 CKM983012 CUI983012 DEE983012 DOA983012 DXW983012 EHS983012 ERO983012 FBK983012 FLG983012 FVC983012 GEY983012 GOU983012 GYQ983012 HIM983012 HSI983012 ICE983012 IMA983012 IVW983012 JFS983012 JPO983012 JZK983012 KJG983012 KTC983012 LCY983012 LMU983012 LWQ983012 MGM983012 MQI983012 NAE983012 NKA983012 NTW983012 ODS983012 ONO983012 OXK983012 PHG983012 PRC983012 QAY983012 QKU983012 QUQ983012 REM983012 ROI983012 RYE983012 SIA983012 SRW983012 TBS983012 TLO983012 TVK983012 UFG983012 UPC983012 UYY983012 VIU983012 VSQ983012 WCM983012 WMI983012 WWE983012"/>
    <dataValidation allowBlank="1" showInputMessage="1" showErrorMessage="1" prompt="53.347901" sqref="JQ65508 TM65508 ADI65508 ANE65508 AXA65508 BGW65508 BQS65508 CAO65508 CKK65508 CUG65508 DEC65508 DNY65508 DXU65508 EHQ65508 ERM65508 FBI65508 FLE65508 FVA65508 GEW65508 GOS65508 GYO65508 HIK65508 HSG65508 ICC65508 ILY65508 IVU65508 JFQ65508 JPM65508 JZI65508 KJE65508 KTA65508 LCW65508 LMS65508 LWO65508 MGK65508 MQG65508 NAC65508 NJY65508 NTU65508 ODQ65508 ONM65508 OXI65508 PHE65508 PRA65508 QAW65508 QKS65508 QUO65508 REK65508 ROG65508 RYC65508 SHY65508 SRU65508 TBQ65508 TLM65508 TVI65508 UFE65508 UPA65508 UYW65508 VIS65508 VSO65508 WCK65508 WMG65508 WWC65508 JQ131044 TM131044 ADI131044 ANE131044 AXA131044 BGW131044 BQS131044 CAO131044 CKK131044 CUG131044 DEC131044 DNY131044 DXU131044 EHQ131044 ERM131044 FBI131044 FLE131044 FVA131044 GEW131044 GOS131044 GYO131044 HIK131044 HSG131044 ICC131044 ILY131044 IVU131044 JFQ131044 JPM131044 JZI131044 KJE131044 KTA131044 LCW131044 LMS131044 LWO131044 MGK131044 MQG131044 NAC131044 NJY131044 NTU131044 ODQ131044 ONM131044 OXI131044 PHE131044 PRA131044 QAW131044 QKS131044 QUO131044 REK131044 ROG131044 RYC131044 SHY131044 SRU131044 TBQ131044 TLM131044 TVI131044 UFE131044 UPA131044 UYW131044 VIS131044 VSO131044 WCK131044 WMG131044 WWC131044 JQ196580 TM196580 ADI196580 ANE196580 AXA196580 BGW196580 BQS196580 CAO196580 CKK196580 CUG196580 DEC196580 DNY196580 DXU196580 EHQ196580 ERM196580 FBI196580 FLE196580 FVA196580 GEW196580 GOS196580 GYO196580 HIK196580 HSG196580 ICC196580 ILY196580 IVU196580 JFQ196580 JPM196580 JZI196580 KJE196580 KTA196580 LCW196580 LMS196580 LWO196580 MGK196580 MQG196580 NAC196580 NJY196580 NTU196580 ODQ196580 ONM196580 OXI196580 PHE196580 PRA196580 QAW196580 QKS196580 QUO196580 REK196580 ROG196580 RYC196580 SHY196580 SRU196580 TBQ196580 TLM196580 TVI196580 UFE196580 UPA196580 UYW196580 VIS196580 VSO196580 WCK196580 WMG196580 WWC196580 JQ262116 TM262116 ADI262116 ANE262116 AXA262116 BGW262116 BQS262116 CAO262116 CKK262116 CUG262116 DEC262116 DNY262116 DXU262116 EHQ262116 ERM262116 FBI262116 FLE262116 FVA262116 GEW262116 GOS262116 GYO262116 HIK262116 HSG262116 ICC262116 ILY262116 IVU262116 JFQ262116 JPM262116 JZI262116 KJE262116 KTA262116 LCW262116 LMS262116 LWO262116 MGK262116 MQG262116 NAC262116 NJY262116 NTU262116 ODQ262116 ONM262116 OXI262116 PHE262116 PRA262116 QAW262116 QKS262116 QUO262116 REK262116 ROG262116 RYC262116 SHY262116 SRU262116 TBQ262116 TLM262116 TVI262116 UFE262116 UPA262116 UYW262116 VIS262116 VSO262116 WCK262116 WMG262116 WWC262116 JQ327652 TM327652 ADI327652 ANE327652 AXA327652 BGW327652 BQS327652 CAO327652 CKK327652 CUG327652 DEC327652 DNY327652 DXU327652 EHQ327652 ERM327652 FBI327652 FLE327652 FVA327652 GEW327652 GOS327652 GYO327652 HIK327652 HSG327652 ICC327652 ILY327652 IVU327652 JFQ327652 JPM327652 JZI327652 KJE327652 KTA327652 LCW327652 LMS327652 LWO327652 MGK327652 MQG327652 NAC327652 NJY327652 NTU327652 ODQ327652 ONM327652 OXI327652 PHE327652 PRA327652 QAW327652 QKS327652 QUO327652 REK327652 ROG327652 RYC327652 SHY327652 SRU327652 TBQ327652 TLM327652 TVI327652 UFE327652 UPA327652 UYW327652 VIS327652 VSO327652 WCK327652 WMG327652 WWC327652 JQ393188 TM393188 ADI393188 ANE393188 AXA393188 BGW393188 BQS393188 CAO393188 CKK393188 CUG393188 DEC393188 DNY393188 DXU393188 EHQ393188 ERM393188 FBI393188 FLE393188 FVA393188 GEW393188 GOS393188 GYO393188 HIK393188 HSG393188 ICC393188 ILY393188 IVU393188 JFQ393188 JPM393188 JZI393188 KJE393188 KTA393188 LCW393188 LMS393188 LWO393188 MGK393188 MQG393188 NAC393188 NJY393188 NTU393188 ODQ393188 ONM393188 OXI393188 PHE393188 PRA393188 QAW393188 QKS393188 QUO393188 REK393188 ROG393188 RYC393188 SHY393188 SRU393188 TBQ393188 TLM393188 TVI393188 UFE393188 UPA393188 UYW393188 VIS393188 VSO393188 WCK393188 WMG393188 WWC393188 JQ458724 TM458724 ADI458724 ANE458724 AXA458724 BGW458724 BQS458724 CAO458724 CKK458724 CUG458724 DEC458724 DNY458724 DXU458724 EHQ458724 ERM458724 FBI458724 FLE458724 FVA458724 GEW458724 GOS458724 GYO458724 HIK458724 HSG458724 ICC458724 ILY458724 IVU458724 JFQ458724 JPM458724 JZI458724 KJE458724 KTA458724 LCW458724 LMS458724 LWO458724 MGK458724 MQG458724 NAC458724 NJY458724 NTU458724 ODQ458724 ONM458724 OXI458724 PHE458724 PRA458724 QAW458724 QKS458724 QUO458724 REK458724 ROG458724 RYC458724 SHY458724 SRU458724 TBQ458724 TLM458724 TVI458724 UFE458724 UPA458724 UYW458724 VIS458724 VSO458724 WCK458724 WMG458724 WWC458724 JQ524260 TM524260 ADI524260 ANE524260 AXA524260 BGW524260 BQS524260 CAO524260 CKK524260 CUG524260 DEC524260 DNY524260 DXU524260 EHQ524260 ERM524260 FBI524260 FLE524260 FVA524260 GEW524260 GOS524260 GYO524260 HIK524260 HSG524260 ICC524260 ILY524260 IVU524260 JFQ524260 JPM524260 JZI524260 KJE524260 KTA524260 LCW524260 LMS524260 LWO524260 MGK524260 MQG524260 NAC524260 NJY524260 NTU524260 ODQ524260 ONM524260 OXI524260 PHE524260 PRA524260 QAW524260 QKS524260 QUO524260 REK524260 ROG524260 RYC524260 SHY524260 SRU524260 TBQ524260 TLM524260 TVI524260 UFE524260 UPA524260 UYW524260 VIS524260 VSO524260 WCK524260 WMG524260 WWC524260 JQ589796 TM589796 ADI589796 ANE589796 AXA589796 BGW589796 BQS589796 CAO589796 CKK589796 CUG589796 DEC589796 DNY589796 DXU589796 EHQ589796 ERM589796 FBI589796 FLE589796 FVA589796 GEW589796 GOS589796 GYO589796 HIK589796 HSG589796 ICC589796 ILY589796 IVU589796 JFQ589796 JPM589796 JZI589796 KJE589796 KTA589796 LCW589796 LMS589796 LWO589796 MGK589796 MQG589796 NAC589796 NJY589796 NTU589796 ODQ589796 ONM589796 OXI589796 PHE589796 PRA589796 QAW589796 QKS589796 QUO589796 REK589796 ROG589796 RYC589796 SHY589796 SRU589796 TBQ589796 TLM589796 TVI589796 UFE589796 UPA589796 UYW589796 VIS589796 VSO589796 WCK589796 WMG589796 WWC589796 JQ655332 TM655332 ADI655332 ANE655332 AXA655332 BGW655332 BQS655332 CAO655332 CKK655332 CUG655332 DEC655332 DNY655332 DXU655332 EHQ655332 ERM655332 FBI655332 FLE655332 FVA655332 GEW655332 GOS655332 GYO655332 HIK655332 HSG655332 ICC655332 ILY655332 IVU655332 JFQ655332 JPM655332 JZI655332 KJE655332 KTA655332 LCW655332 LMS655332 LWO655332 MGK655332 MQG655332 NAC655332 NJY655332 NTU655332 ODQ655332 ONM655332 OXI655332 PHE655332 PRA655332 QAW655332 QKS655332 QUO655332 REK655332 ROG655332 RYC655332 SHY655332 SRU655332 TBQ655332 TLM655332 TVI655332 UFE655332 UPA655332 UYW655332 VIS655332 VSO655332 WCK655332 WMG655332 WWC655332 JQ720868 TM720868 ADI720868 ANE720868 AXA720868 BGW720868 BQS720868 CAO720868 CKK720868 CUG720868 DEC720868 DNY720868 DXU720868 EHQ720868 ERM720868 FBI720868 FLE720868 FVA720868 GEW720868 GOS720868 GYO720868 HIK720868 HSG720868 ICC720868 ILY720868 IVU720868 JFQ720868 JPM720868 JZI720868 KJE720868 KTA720868 LCW720868 LMS720868 LWO720868 MGK720868 MQG720868 NAC720868 NJY720868 NTU720868 ODQ720868 ONM720868 OXI720868 PHE720868 PRA720868 QAW720868 QKS720868 QUO720868 REK720868 ROG720868 RYC720868 SHY720868 SRU720868 TBQ720868 TLM720868 TVI720868 UFE720868 UPA720868 UYW720868 VIS720868 VSO720868 WCK720868 WMG720868 WWC720868 JQ786404 TM786404 ADI786404 ANE786404 AXA786404 BGW786404 BQS786404 CAO786404 CKK786404 CUG786404 DEC786404 DNY786404 DXU786404 EHQ786404 ERM786404 FBI786404 FLE786404 FVA786404 GEW786404 GOS786404 GYO786404 HIK786404 HSG786404 ICC786404 ILY786404 IVU786404 JFQ786404 JPM786404 JZI786404 KJE786404 KTA786404 LCW786404 LMS786404 LWO786404 MGK786404 MQG786404 NAC786404 NJY786404 NTU786404 ODQ786404 ONM786404 OXI786404 PHE786404 PRA786404 QAW786404 QKS786404 QUO786404 REK786404 ROG786404 RYC786404 SHY786404 SRU786404 TBQ786404 TLM786404 TVI786404 UFE786404 UPA786404 UYW786404 VIS786404 VSO786404 WCK786404 WMG786404 WWC786404 JQ851940 TM851940 ADI851940 ANE851940 AXA851940 BGW851940 BQS851940 CAO851940 CKK851940 CUG851940 DEC851940 DNY851940 DXU851940 EHQ851940 ERM851940 FBI851940 FLE851940 FVA851940 GEW851940 GOS851940 GYO851940 HIK851940 HSG851940 ICC851940 ILY851940 IVU851940 JFQ851940 JPM851940 JZI851940 KJE851940 KTA851940 LCW851940 LMS851940 LWO851940 MGK851940 MQG851940 NAC851940 NJY851940 NTU851940 ODQ851940 ONM851940 OXI851940 PHE851940 PRA851940 QAW851940 QKS851940 QUO851940 REK851940 ROG851940 RYC851940 SHY851940 SRU851940 TBQ851940 TLM851940 TVI851940 UFE851940 UPA851940 UYW851940 VIS851940 VSO851940 WCK851940 WMG851940 WWC851940 JQ917476 TM917476 ADI917476 ANE917476 AXA917476 BGW917476 BQS917476 CAO917476 CKK917476 CUG917476 DEC917476 DNY917476 DXU917476 EHQ917476 ERM917476 FBI917476 FLE917476 FVA917476 GEW917476 GOS917476 GYO917476 HIK917476 HSG917476 ICC917476 ILY917476 IVU917476 JFQ917476 JPM917476 JZI917476 KJE917476 KTA917476 LCW917476 LMS917476 LWO917476 MGK917476 MQG917476 NAC917476 NJY917476 NTU917476 ODQ917476 ONM917476 OXI917476 PHE917476 PRA917476 QAW917476 QKS917476 QUO917476 REK917476 ROG917476 RYC917476 SHY917476 SRU917476 TBQ917476 TLM917476 TVI917476 UFE917476 UPA917476 UYW917476 VIS917476 VSO917476 WCK917476 WMG917476 WWC917476 JQ983012 TM983012 ADI983012 ANE983012 AXA983012 BGW983012 BQS983012 CAO983012 CKK983012 CUG983012 DEC983012 DNY983012 DXU983012 EHQ983012 ERM983012 FBI983012 FLE983012 FVA983012 GEW983012 GOS983012 GYO983012 HIK983012 HSG983012 ICC983012 ILY983012 IVU983012 JFQ983012 JPM983012 JZI983012 KJE983012 KTA983012 LCW983012 LMS983012 LWO983012 MGK983012 MQG983012 NAC983012 NJY983012 NTU983012 ODQ983012 ONM983012 OXI983012 PHE983012 PRA983012 QAW983012 QKS983012 QUO983012 REK983012 ROG983012 RYC983012 SHY983012 SRU983012 TBQ983012 TLM983012 TVI983012 UFE983012 UPA983012 UYW983012 VIS983012 VSO983012 WCK983012 WMG983012 WWC983012"/>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
  <sheetViews>
    <sheetView view="pageLayout" zoomScale="80" zoomScaleNormal="100" zoomScalePageLayoutView="80" workbookViewId="0">
      <selection activeCell="B2" sqref="B2"/>
    </sheetView>
  </sheetViews>
  <sheetFormatPr defaultRowHeight="15" customHeight="1" x14ac:dyDescent="0.3"/>
  <cols>
    <col min="1" max="1" width="2.6640625" style="2" customWidth="1"/>
    <col min="2" max="7" width="5.33203125" style="2" customWidth="1"/>
    <col min="8" max="8" width="7.6640625" style="2" customWidth="1"/>
    <col min="9" max="25" width="5.33203125" style="2" customWidth="1"/>
    <col min="26" max="26" width="6.6640625" style="2" customWidth="1"/>
    <col min="27" max="27" width="2.6640625" style="2" customWidth="1"/>
    <col min="28" max="30" width="7.6640625" style="2" customWidth="1"/>
    <col min="31" max="31" width="8.44140625" style="2" bestFit="1" customWidth="1"/>
    <col min="32" max="276" width="7.6640625" style="2" customWidth="1"/>
    <col min="277" max="277" width="14.33203125" style="2" customWidth="1"/>
    <col min="278" max="278" width="4" style="2" customWidth="1"/>
    <col min="279" max="279" width="14.33203125" style="2" customWidth="1"/>
    <col min="280" max="280" width="4" style="2" customWidth="1"/>
    <col min="281" max="532" width="7.6640625" style="2" customWidth="1"/>
    <col min="533" max="533" width="14.33203125" style="2" customWidth="1"/>
    <col min="534" max="534" width="4" style="2" customWidth="1"/>
    <col min="535" max="535" width="14.33203125" style="2" customWidth="1"/>
    <col min="536" max="536" width="4" style="2" customWidth="1"/>
    <col min="537" max="788" width="7.6640625" style="2" customWidth="1"/>
    <col min="789" max="789" width="14.33203125" style="2" customWidth="1"/>
    <col min="790" max="790" width="4" style="2" customWidth="1"/>
    <col min="791" max="791" width="14.33203125" style="2" customWidth="1"/>
    <col min="792" max="792" width="4" style="2" customWidth="1"/>
    <col min="793" max="1044" width="7.6640625" style="2" customWidth="1"/>
    <col min="1045" max="1045" width="14.33203125" style="2" customWidth="1"/>
    <col min="1046" max="1046" width="4" style="2" customWidth="1"/>
    <col min="1047" max="1047" width="14.33203125" style="2" customWidth="1"/>
    <col min="1048" max="1048" width="4" style="2" customWidth="1"/>
    <col min="1049" max="1300" width="7.6640625" style="2" customWidth="1"/>
    <col min="1301" max="1301" width="14.33203125" style="2" customWidth="1"/>
    <col min="1302" max="1302" width="4" style="2" customWidth="1"/>
    <col min="1303" max="1303" width="14.33203125" style="2" customWidth="1"/>
    <col min="1304" max="1304" width="4" style="2" customWidth="1"/>
    <col min="1305" max="1556" width="7.6640625" style="2" customWidth="1"/>
    <col min="1557" max="1557" width="14.33203125" style="2" customWidth="1"/>
    <col min="1558" max="1558" width="4" style="2" customWidth="1"/>
    <col min="1559" max="1559" width="14.33203125" style="2" customWidth="1"/>
    <col min="1560" max="1560" width="4" style="2" customWidth="1"/>
    <col min="1561" max="1812" width="7.6640625" style="2" customWidth="1"/>
    <col min="1813" max="1813" width="14.33203125" style="2" customWidth="1"/>
    <col min="1814" max="1814" width="4" style="2" customWidth="1"/>
    <col min="1815" max="1815" width="14.33203125" style="2" customWidth="1"/>
    <col min="1816" max="1816" width="4" style="2" customWidth="1"/>
    <col min="1817" max="2068" width="7.6640625" style="2" customWidth="1"/>
    <col min="2069" max="2069" width="14.33203125" style="2" customWidth="1"/>
    <col min="2070" max="2070" width="4" style="2" customWidth="1"/>
    <col min="2071" max="2071" width="14.33203125" style="2" customWidth="1"/>
    <col min="2072" max="2072" width="4" style="2" customWidth="1"/>
    <col min="2073" max="2324" width="7.6640625" style="2" customWidth="1"/>
    <col min="2325" max="2325" width="14.33203125" style="2" customWidth="1"/>
    <col min="2326" max="2326" width="4" style="2" customWidth="1"/>
    <col min="2327" max="2327" width="14.33203125" style="2" customWidth="1"/>
    <col min="2328" max="2328" width="4" style="2" customWidth="1"/>
    <col min="2329" max="2580" width="7.6640625" style="2" customWidth="1"/>
    <col min="2581" max="2581" width="14.33203125" style="2" customWidth="1"/>
    <col min="2582" max="2582" width="4" style="2" customWidth="1"/>
    <col min="2583" max="2583" width="14.33203125" style="2" customWidth="1"/>
    <col min="2584" max="2584" width="4" style="2" customWidth="1"/>
    <col min="2585" max="2836" width="7.6640625" style="2" customWidth="1"/>
    <col min="2837" max="2837" width="14.33203125" style="2" customWidth="1"/>
    <col min="2838" max="2838" width="4" style="2" customWidth="1"/>
    <col min="2839" max="2839" width="14.33203125" style="2" customWidth="1"/>
    <col min="2840" max="2840" width="4" style="2" customWidth="1"/>
    <col min="2841" max="3092" width="7.6640625" style="2" customWidth="1"/>
    <col min="3093" max="3093" width="14.33203125" style="2" customWidth="1"/>
    <col min="3094" max="3094" width="4" style="2" customWidth="1"/>
    <col min="3095" max="3095" width="14.33203125" style="2" customWidth="1"/>
    <col min="3096" max="3096" width="4" style="2" customWidth="1"/>
    <col min="3097" max="3348" width="7.6640625" style="2" customWidth="1"/>
    <col min="3349" max="3349" width="14.33203125" style="2" customWidth="1"/>
    <col min="3350" max="3350" width="4" style="2" customWidth="1"/>
    <col min="3351" max="3351" width="14.33203125" style="2" customWidth="1"/>
    <col min="3352" max="3352" width="4" style="2" customWidth="1"/>
    <col min="3353" max="3604" width="7.6640625" style="2" customWidth="1"/>
    <col min="3605" max="3605" width="14.33203125" style="2" customWidth="1"/>
    <col min="3606" max="3606" width="4" style="2" customWidth="1"/>
    <col min="3607" max="3607" width="14.33203125" style="2" customWidth="1"/>
    <col min="3608" max="3608" width="4" style="2" customWidth="1"/>
    <col min="3609" max="3860" width="7.6640625" style="2" customWidth="1"/>
    <col min="3861" max="3861" width="14.33203125" style="2" customWidth="1"/>
    <col min="3862" max="3862" width="4" style="2" customWidth="1"/>
    <col min="3863" max="3863" width="14.33203125" style="2" customWidth="1"/>
    <col min="3864" max="3864" width="4" style="2" customWidth="1"/>
    <col min="3865" max="4116" width="7.6640625" style="2" customWidth="1"/>
    <col min="4117" max="4117" width="14.33203125" style="2" customWidth="1"/>
    <col min="4118" max="4118" width="4" style="2" customWidth="1"/>
    <col min="4119" max="4119" width="14.33203125" style="2" customWidth="1"/>
    <col min="4120" max="4120" width="4" style="2" customWidth="1"/>
    <col min="4121" max="4372" width="7.6640625" style="2" customWidth="1"/>
    <col min="4373" max="4373" width="14.33203125" style="2" customWidth="1"/>
    <col min="4374" max="4374" width="4" style="2" customWidth="1"/>
    <col min="4375" max="4375" width="14.33203125" style="2" customWidth="1"/>
    <col min="4376" max="4376" width="4" style="2" customWidth="1"/>
    <col min="4377" max="4628" width="7.6640625" style="2" customWidth="1"/>
    <col min="4629" max="4629" width="14.33203125" style="2" customWidth="1"/>
    <col min="4630" max="4630" width="4" style="2" customWidth="1"/>
    <col min="4631" max="4631" width="14.33203125" style="2" customWidth="1"/>
    <col min="4632" max="4632" width="4" style="2" customWidth="1"/>
    <col min="4633" max="4884" width="7.6640625" style="2" customWidth="1"/>
    <col min="4885" max="4885" width="14.33203125" style="2" customWidth="1"/>
    <col min="4886" max="4886" width="4" style="2" customWidth="1"/>
    <col min="4887" max="4887" width="14.33203125" style="2" customWidth="1"/>
    <col min="4888" max="4888" width="4" style="2" customWidth="1"/>
    <col min="4889" max="5140" width="7.6640625" style="2" customWidth="1"/>
    <col min="5141" max="5141" width="14.33203125" style="2" customWidth="1"/>
    <col min="5142" max="5142" width="4" style="2" customWidth="1"/>
    <col min="5143" max="5143" width="14.33203125" style="2" customWidth="1"/>
    <col min="5144" max="5144" width="4" style="2" customWidth="1"/>
    <col min="5145" max="5396" width="7.6640625" style="2" customWidth="1"/>
    <col min="5397" max="5397" width="14.33203125" style="2" customWidth="1"/>
    <col min="5398" max="5398" width="4" style="2" customWidth="1"/>
    <col min="5399" max="5399" width="14.33203125" style="2" customWidth="1"/>
    <col min="5400" max="5400" width="4" style="2" customWidth="1"/>
    <col min="5401" max="5652" width="7.6640625" style="2" customWidth="1"/>
    <col min="5653" max="5653" width="14.33203125" style="2" customWidth="1"/>
    <col min="5654" max="5654" width="4" style="2" customWidth="1"/>
    <col min="5655" max="5655" width="14.33203125" style="2" customWidth="1"/>
    <col min="5656" max="5656" width="4" style="2" customWidth="1"/>
    <col min="5657" max="5908" width="7.6640625" style="2" customWidth="1"/>
    <col min="5909" max="5909" width="14.33203125" style="2" customWidth="1"/>
    <col min="5910" max="5910" width="4" style="2" customWidth="1"/>
    <col min="5911" max="5911" width="14.33203125" style="2" customWidth="1"/>
    <col min="5912" max="5912" width="4" style="2" customWidth="1"/>
    <col min="5913" max="6164" width="7.6640625" style="2" customWidth="1"/>
    <col min="6165" max="6165" width="14.33203125" style="2" customWidth="1"/>
    <col min="6166" max="6166" width="4" style="2" customWidth="1"/>
    <col min="6167" max="6167" width="14.33203125" style="2" customWidth="1"/>
    <col min="6168" max="6168" width="4" style="2" customWidth="1"/>
    <col min="6169" max="6420" width="7.6640625" style="2" customWidth="1"/>
    <col min="6421" max="6421" width="14.33203125" style="2" customWidth="1"/>
    <col min="6422" max="6422" width="4" style="2" customWidth="1"/>
    <col min="6423" max="6423" width="14.33203125" style="2" customWidth="1"/>
    <col min="6424" max="6424" width="4" style="2" customWidth="1"/>
    <col min="6425" max="6676" width="7.6640625" style="2" customWidth="1"/>
    <col min="6677" max="6677" width="14.33203125" style="2" customWidth="1"/>
    <col min="6678" max="6678" width="4" style="2" customWidth="1"/>
    <col min="6679" max="6679" width="14.33203125" style="2" customWidth="1"/>
    <col min="6680" max="6680" width="4" style="2" customWidth="1"/>
    <col min="6681" max="6932" width="7.6640625" style="2" customWidth="1"/>
    <col min="6933" max="6933" width="14.33203125" style="2" customWidth="1"/>
    <col min="6934" max="6934" width="4" style="2" customWidth="1"/>
    <col min="6935" max="6935" width="14.33203125" style="2" customWidth="1"/>
    <col min="6936" max="6936" width="4" style="2" customWidth="1"/>
    <col min="6937" max="7188" width="7.6640625" style="2" customWidth="1"/>
    <col min="7189" max="7189" width="14.33203125" style="2" customWidth="1"/>
    <col min="7190" max="7190" width="4" style="2" customWidth="1"/>
    <col min="7191" max="7191" width="14.33203125" style="2" customWidth="1"/>
    <col min="7192" max="7192" width="4" style="2" customWidth="1"/>
    <col min="7193" max="7444" width="7.6640625" style="2" customWidth="1"/>
    <col min="7445" max="7445" width="14.33203125" style="2" customWidth="1"/>
    <col min="7446" max="7446" width="4" style="2" customWidth="1"/>
    <col min="7447" max="7447" width="14.33203125" style="2" customWidth="1"/>
    <col min="7448" max="7448" width="4" style="2" customWidth="1"/>
    <col min="7449" max="7700" width="7.6640625" style="2" customWidth="1"/>
    <col min="7701" max="7701" width="14.33203125" style="2" customWidth="1"/>
    <col min="7702" max="7702" width="4" style="2" customWidth="1"/>
    <col min="7703" max="7703" width="14.33203125" style="2" customWidth="1"/>
    <col min="7704" max="7704" width="4" style="2" customWidth="1"/>
    <col min="7705" max="7956" width="7.6640625" style="2" customWidth="1"/>
    <col min="7957" max="7957" width="14.33203125" style="2" customWidth="1"/>
    <col min="7958" max="7958" width="4" style="2" customWidth="1"/>
    <col min="7959" max="7959" width="14.33203125" style="2" customWidth="1"/>
    <col min="7960" max="7960" width="4" style="2" customWidth="1"/>
    <col min="7961" max="8212" width="7.6640625" style="2" customWidth="1"/>
    <col min="8213" max="8213" width="14.33203125" style="2" customWidth="1"/>
    <col min="8214" max="8214" width="4" style="2" customWidth="1"/>
    <col min="8215" max="8215" width="14.33203125" style="2" customWidth="1"/>
    <col min="8216" max="8216" width="4" style="2" customWidth="1"/>
    <col min="8217" max="8468" width="7.6640625" style="2" customWidth="1"/>
    <col min="8469" max="8469" width="14.33203125" style="2" customWidth="1"/>
    <col min="8470" max="8470" width="4" style="2" customWidth="1"/>
    <col min="8471" max="8471" width="14.33203125" style="2" customWidth="1"/>
    <col min="8472" max="8472" width="4" style="2" customWidth="1"/>
    <col min="8473" max="8724" width="7.6640625" style="2" customWidth="1"/>
    <col min="8725" max="8725" width="14.33203125" style="2" customWidth="1"/>
    <col min="8726" max="8726" width="4" style="2" customWidth="1"/>
    <col min="8727" max="8727" width="14.33203125" style="2" customWidth="1"/>
    <col min="8728" max="8728" width="4" style="2" customWidth="1"/>
    <col min="8729" max="8980" width="7.6640625" style="2" customWidth="1"/>
    <col min="8981" max="8981" width="14.33203125" style="2" customWidth="1"/>
    <col min="8982" max="8982" width="4" style="2" customWidth="1"/>
    <col min="8983" max="8983" width="14.33203125" style="2" customWidth="1"/>
    <col min="8984" max="8984" width="4" style="2" customWidth="1"/>
    <col min="8985" max="9236" width="7.6640625" style="2" customWidth="1"/>
    <col min="9237" max="9237" width="14.33203125" style="2" customWidth="1"/>
    <col min="9238" max="9238" width="4" style="2" customWidth="1"/>
    <col min="9239" max="9239" width="14.33203125" style="2" customWidth="1"/>
    <col min="9240" max="9240" width="4" style="2" customWidth="1"/>
    <col min="9241" max="9492" width="7.6640625" style="2" customWidth="1"/>
    <col min="9493" max="9493" width="14.33203125" style="2" customWidth="1"/>
    <col min="9494" max="9494" width="4" style="2" customWidth="1"/>
    <col min="9495" max="9495" width="14.33203125" style="2" customWidth="1"/>
    <col min="9496" max="9496" width="4" style="2" customWidth="1"/>
    <col min="9497" max="9748" width="7.6640625" style="2" customWidth="1"/>
    <col min="9749" max="9749" width="14.33203125" style="2" customWidth="1"/>
    <col min="9750" max="9750" width="4" style="2" customWidth="1"/>
    <col min="9751" max="9751" width="14.33203125" style="2" customWidth="1"/>
    <col min="9752" max="9752" width="4" style="2" customWidth="1"/>
    <col min="9753" max="10004" width="7.6640625" style="2" customWidth="1"/>
    <col min="10005" max="10005" width="14.33203125" style="2" customWidth="1"/>
    <col min="10006" max="10006" width="4" style="2" customWidth="1"/>
    <col min="10007" max="10007" width="14.33203125" style="2" customWidth="1"/>
    <col min="10008" max="10008" width="4" style="2" customWidth="1"/>
    <col min="10009" max="10260" width="7.6640625" style="2" customWidth="1"/>
    <col min="10261" max="10261" width="14.33203125" style="2" customWidth="1"/>
    <col min="10262" max="10262" width="4" style="2" customWidth="1"/>
    <col min="10263" max="10263" width="14.33203125" style="2" customWidth="1"/>
    <col min="10264" max="10264" width="4" style="2" customWidth="1"/>
    <col min="10265" max="10516" width="7.6640625" style="2" customWidth="1"/>
    <col min="10517" max="10517" width="14.33203125" style="2" customWidth="1"/>
    <col min="10518" max="10518" width="4" style="2" customWidth="1"/>
    <col min="10519" max="10519" width="14.33203125" style="2" customWidth="1"/>
    <col min="10520" max="10520" width="4" style="2" customWidth="1"/>
    <col min="10521" max="10772" width="7.6640625" style="2" customWidth="1"/>
    <col min="10773" max="10773" width="14.33203125" style="2" customWidth="1"/>
    <col min="10774" max="10774" width="4" style="2" customWidth="1"/>
    <col min="10775" max="10775" width="14.33203125" style="2" customWidth="1"/>
    <col min="10776" max="10776" width="4" style="2" customWidth="1"/>
    <col min="10777" max="11028" width="7.6640625" style="2" customWidth="1"/>
    <col min="11029" max="11029" width="14.33203125" style="2" customWidth="1"/>
    <col min="11030" max="11030" width="4" style="2" customWidth="1"/>
    <col min="11031" max="11031" width="14.33203125" style="2" customWidth="1"/>
    <col min="11032" max="11032" width="4" style="2" customWidth="1"/>
    <col min="11033" max="11284" width="7.6640625" style="2" customWidth="1"/>
    <col min="11285" max="11285" width="14.33203125" style="2" customWidth="1"/>
    <col min="11286" max="11286" width="4" style="2" customWidth="1"/>
    <col min="11287" max="11287" width="14.33203125" style="2" customWidth="1"/>
    <col min="11288" max="11288" width="4" style="2" customWidth="1"/>
    <col min="11289" max="11540" width="7.6640625" style="2" customWidth="1"/>
    <col min="11541" max="11541" width="14.33203125" style="2" customWidth="1"/>
    <col min="11542" max="11542" width="4" style="2" customWidth="1"/>
    <col min="11543" max="11543" width="14.33203125" style="2" customWidth="1"/>
    <col min="11544" max="11544" width="4" style="2" customWidth="1"/>
    <col min="11545" max="11796" width="7.6640625" style="2" customWidth="1"/>
    <col min="11797" max="11797" width="14.33203125" style="2" customWidth="1"/>
    <col min="11798" max="11798" width="4" style="2" customWidth="1"/>
    <col min="11799" max="11799" width="14.33203125" style="2" customWidth="1"/>
    <col min="11800" max="11800" width="4" style="2" customWidth="1"/>
    <col min="11801" max="12052" width="7.6640625" style="2" customWidth="1"/>
    <col min="12053" max="12053" width="14.33203125" style="2" customWidth="1"/>
    <col min="12054" max="12054" width="4" style="2" customWidth="1"/>
    <col min="12055" max="12055" width="14.33203125" style="2" customWidth="1"/>
    <col min="12056" max="12056" width="4" style="2" customWidth="1"/>
    <col min="12057" max="12308" width="7.6640625" style="2" customWidth="1"/>
    <col min="12309" max="12309" width="14.33203125" style="2" customWidth="1"/>
    <col min="12310" max="12310" width="4" style="2" customWidth="1"/>
    <col min="12311" max="12311" width="14.33203125" style="2" customWidth="1"/>
    <col min="12312" max="12312" width="4" style="2" customWidth="1"/>
    <col min="12313" max="12564" width="7.6640625" style="2" customWidth="1"/>
    <col min="12565" max="12565" width="14.33203125" style="2" customWidth="1"/>
    <col min="12566" max="12566" width="4" style="2" customWidth="1"/>
    <col min="12567" max="12567" width="14.33203125" style="2" customWidth="1"/>
    <col min="12568" max="12568" width="4" style="2" customWidth="1"/>
    <col min="12569" max="12820" width="7.6640625" style="2" customWidth="1"/>
    <col min="12821" max="12821" width="14.33203125" style="2" customWidth="1"/>
    <col min="12822" max="12822" width="4" style="2" customWidth="1"/>
    <col min="12823" max="12823" width="14.33203125" style="2" customWidth="1"/>
    <col min="12824" max="12824" width="4" style="2" customWidth="1"/>
    <col min="12825" max="13076" width="7.6640625" style="2" customWidth="1"/>
    <col min="13077" max="13077" width="14.33203125" style="2" customWidth="1"/>
    <col min="13078" max="13078" width="4" style="2" customWidth="1"/>
    <col min="13079" max="13079" width="14.33203125" style="2" customWidth="1"/>
    <col min="13080" max="13080" width="4" style="2" customWidth="1"/>
    <col min="13081" max="13332" width="7.6640625" style="2" customWidth="1"/>
    <col min="13333" max="13333" width="14.33203125" style="2" customWidth="1"/>
    <col min="13334" max="13334" width="4" style="2" customWidth="1"/>
    <col min="13335" max="13335" width="14.33203125" style="2" customWidth="1"/>
    <col min="13336" max="13336" width="4" style="2" customWidth="1"/>
    <col min="13337" max="13588" width="7.6640625" style="2" customWidth="1"/>
    <col min="13589" max="13589" width="14.33203125" style="2" customWidth="1"/>
    <col min="13590" max="13590" width="4" style="2" customWidth="1"/>
    <col min="13591" max="13591" width="14.33203125" style="2" customWidth="1"/>
    <col min="13592" max="13592" width="4" style="2" customWidth="1"/>
    <col min="13593" max="13844" width="7.6640625" style="2" customWidth="1"/>
    <col min="13845" max="13845" width="14.33203125" style="2" customWidth="1"/>
    <col min="13846" max="13846" width="4" style="2" customWidth="1"/>
    <col min="13847" max="13847" width="14.33203125" style="2" customWidth="1"/>
    <col min="13848" max="13848" width="4" style="2" customWidth="1"/>
    <col min="13849" max="14100" width="7.6640625" style="2" customWidth="1"/>
    <col min="14101" max="14101" width="14.33203125" style="2" customWidth="1"/>
    <col min="14102" max="14102" width="4" style="2" customWidth="1"/>
    <col min="14103" max="14103" width="14.33203125" style="2" customWidth="1"/>
    <col min="14104" max="14104" width="4" style="2" customWidth="1"/>
    <col min="14105" max="14356" width="7.6640625" style="2" customWidth="1"/>
    <col min="14357" max="14357" width="14.33203125" style="2" customWidth="1"/>
    <col min="14358" max="14358" width="4" style="2" customWidth="1"/>
    <col min="14359" max="14359" width="14.33203125" style="2" customWidth="1"/>
    <col min="14360" max="14360" width="4" style="2" customWidth="1"/>
    <col min="14361" max="14612" width="7.6640625" style="2" customWidth="1"/>
    <col min="14613" max="14613" width="14.33203125" style="2" customWidth="1"/>
    <col min="14614" max="14614" width="4" style="2" customWidth="1"/>
    <col min="14615" max="14615" width="14.33203125" style="2" customWidth="1"/>
    <col min="14616" max="14616" width="4" style="2" customWidth="1"/>
    <col min="14617" max="14868" width="7.6640625" style="2" customWidth="1"/>
    <col min="14869" max="14869" width="14.33203125" style="2" customWidth="1"/>
    <col min="14870" max="14870" width="4" style="2" customWidth="1"/>
    <col min="14871" max="14871" width="14.33203125" style="2" customWidth="1"/>
    <col min="14872" max="14872" width="4" style="2" customWidth="1"/>
    <col min="14873" max="15124" width="7.6640625" style="2" customWidth="1"/>
    <col min="15125" max="15125" width="14.33203125" style="2" customWidth="1"/>
    <col min="15126" max="15126" width="4" style="2" customWidth="1"/>
    <col min="15127" max="15127" width="14.33203125" style="2" customWidth="1"/>
    <col min="15128" max="15128" width="4" style="2" customWidth="1"/>
    <col min="15129" max="15380" width="7.6640625" style="2" customWidth="1"/>
    <col min="15381" max="15381" width="14.33203125" style="2" customWidth="1"/>
    <col min="15382" max="15382" width="4" style="2" customWidth="1"/>
    <col min="15383" max="15383" width="14.33203125" style="2" customWidth="1"/>
    <col min="15384" max="15384" width="4" style="2" customWidth="1"/>
    <col min="15385" max="15636" width="7.6640625" style="2" customWidth="1"/>
    <col min="15637" max="15637" width="14.33203125" style="2" customWidth="1"/>
    <col min="15638" max="15638" width="4" style="2" customWidth="1"/>
    <col min="15639" max="15639" width="14.33203125" style="2" customWidth="1"/>
    <col min="15640" max="15640" width="4" style="2" customWidth="1"/>
    <col min="15641" max="15892" width="7.6640625" style="2" customWidth="1"/>
    <col min="15893" max="15893" width="14.33203125" style="2" customWidth="1"/>
    <col min="15894" max="15894" width="4" style="2" customWidth="1"/>
    <col min="15895" max="15895" width="14.33203125" style="2" customWidth="1"/>
    <col min="15896" max="15896" width="4" style="2" customWidth="1"/>
    <col min="15897" max="16148" width="7.6640625" style="2" customWidth="1"/>
    <col min="16149" max="16149" width="14.33203125" style="2" customWidth="1"/>
    <col min="16150" max="16150" width="4" style="2" customWidth="1"/>
    <col min="16151" max="16151" width="14.33203125" style="2" customWidth="1"/>
    <col min="16152" max="16152" width="4" style="2" customWidth="1"/>
    <col min="16153" max="16384" width="7.6640625" style="2" customWidth="1"/>
  </cols>
  <sheetData>
    <row r="1" spans="1:28" ht="15" customHeight="1" x14ac:dyDescent="0.3">
      <c r="A1" s="85"/>
      <c r="B1" s="86"/>
      <c r="C1" s="86"/>
      <c r="D1" s="86"/>
      <c r="E1" s="86"/>
      <c r="F1" s="1"/>
      <c r="G1" s="1"/>
      <c r="H1" s="1"/>
      <c r="I1" s="1"/>
      <c r="J1" s="1"/>
      <c r="K1" s="1"/>
      <c r="L1" s="1"/>
      <c r="M1" s="1"/>
      <c r="N1" s="1"/>
      <c r="O1" s="1"/>
      <c r="P1" s="1"/>
      <c r="Q1" s="1"/>
      <c r="R1" s="1"/>
      <c r="S1" s="1"/>
      <c r="T1" s="1"/>
      <c r="U1" s="1"/>
      <c r="V1" s="1"/>
      <c r="W1" s="1"/>
      <c r="X1" s="1"/>
      <c r="Y1" s="1"/>
      <c r="Z1" s="1"/>
      <c r="AA1" s="85"/>
    </row>
    <row r="2" spans="1:28" ht="15" customHeight="1" x14ac:dyDescent="0.3">
      <c r="A2" s="3"/>
      <c r="B2" s="589" t="s">
        <v>140</v>
      </c>
      <c r="C2" s="10"/>
      <c r="D2" s="10"/>
      <c r="E2" s="10"/>
      <c r="F2" s="3"/>
      <c r="G2" s="3"/>
      <c r="H2" s="3"/>
      <c r="I2" s="3"/>
      <c r="J2" s="3"/>
      <c r="K2" s="3"/>
      <c r="L2" s="3"/>
      <c r="M2" s="3"/>
      <c r="N2" s="3"/>
      <c r="O2" s="3"/>
      <c r="P2" s="3"/>
      <c r="Q2" s="3"/>
      <c r="R2" s="3"/>
      <c r="S2" s="3"/>
      <c r="T2" s="3"/>
      <c r="U2" s="3"/>
      <c r="V2" s="3"/>
      <c r="W2" s="3"/>
      <c r="X2" s="3"/>
      <c r="Y2" s="3"/>
      <c r="Z2" s="3"/>
      <c r="AA2" s="3"/>
    </row>
    <row r="3" spans="1:28" ht="15" customHeight="1" x14ac:dyDescent="0.3">
      <c r="A3" s="3"/>
      <c r="B3" s="615" t="s">
        <v>76</v>
      </c>
      <c r="C3" s="3"/>
      <c r="D3" s="3"/>
      <c r="E3" s="3"/>
      <c r="F3" s="3"/>
      <c r="G3" s="3"/>
      <c r="H3" s="3"/>
      <c r="I3" s="3"/>
      <c r="J3" s="3"/>
      <c r="K3" s="3"/>
      <c r="L3" s="3"/>
      <c r="M3" s="3"/>
      <c r="N3" s="3"/>
      <c r="O3" s="3"/>
      <c r="P3" s="3"/>
      <c r="Q3" s="3"/>
      <c r="R3" s="3"/>
      <c r="S3" s="3"/>
      <c r="T3" s="3"/>
      <c r="U3" s="3"/>
      <c r="V3" s="3"/>
      <c r="W3" s="3"/>
      <c r="X3" s="3"/>
      <c r="Y3" s="3"/>
      <c r="Z3" s="3"/>
      <c r="AA3" s="3"/>
    </row>
    <row r="4" spans="1:28" ht="15" customHeight="1" x14ac:dyDescent="0.3">
      <c r="A4" s="3"/>
      <c r="B4" s="594" t="str">
        <f>Overview!$B$7</f>
        <v>Grove Park Drive</v>
      </c>
      <c r="C4" s="3"/>
      <c r="D4" s="3"/>
      <c r="E4" s="3"/>
      <c r="F4" s="3"/>
      <c r="G4" s="3"/>
      <c r="H4" s="3"/>
      <c r="I4" s="3"/>
      <c r="J4" s="3"/>
      <c r="K4" s="3"/>
      <c r="L4" s="3"/>
      <c r="M4" s="3"/>
      <c r="N4" s="3"/>
      <c r="O4" s="3"/>
      <c r="P4" s="3"/>
      <c r="Q4" s="3"/>
      <c r="R4" s="3"/>
      <c r="S4" s="3"/>
      <c r="T4" s="3"/>
      <c r="U4" s="3"/>
      <c r="V4" s="3"/>
      <c r="W4" s="3"/>
      <c r="X4" s="3"/>
      <c r="Y4" s="3"/>
      <c r="Z4" s="3"/>
      <c r="AA4" s="3"/>
    </row>
    <row r="5" spans="1:28" ht="15" customHeight="1" x14ac:dyDescent="0.3">
      <c r="A5" s="3"/>
      <c r="B5" s="12"/>
      <c r="C5" s="3"/>
      <c r="D5" s="3"/>
      <c r="E5" s="3"/>
      <c r="F5" s="3"/>
      <c r="G5" s="3"/>
      <c r="H5" s="3"/>
      <c r="I5" s="3"/>
      <c r="J5" s="3"/>
      <c r="K5" s="3"/>
      <c r="L5" s="3"/>
      <c r="M5" s="3"/>
      <c r="N5" s="3"/>
      <c r="O5" s="3"/>
      <c r="P5" s="3"/>
      <c r="Q5" s="3"/>
      <c r="R5" s="3"/>
      <c r="S5" s="3"/>
      <c r="T5" s="3"/>
      <c r="U5" s="3"/>
      <c r="V5" s="3"/>
      <c r="W5" s="3"/>
      <c r="X5" s="3"/>
      <c r="Y5" s="3"/>
      <c r="Z5" s="3"/>
      <c r="AA5" s="3"/>
    </row>
    <row r="6" spans="1:28" ht="15" customHeight="1" thickBot="1" x14ac:dyDescent="0.35">
      <c r="A6" s="3"/>
      <c r="C6" s="26" t="s">
        <v>42</v>
      </c>
      <c r="D6" s="3"/>
      <c r="E6" s="3"/>
      <c r="F6" s="3"/>
      <c r="G6" s="3"/>
      <c r="H6" s="3"/>
      <c r="I6" s="3"/>
      <c r="J6" s="3"/>
      <c r="K6" s="3"/>
      <c r="L6" s="3"/>
      <c r="M6" s="3"/>
      <c r="N6" s="3"/>
      <c r="O6" s="3"/>
      <c r="P6" s="3"/>
      <c r="Q6" s="3"/>
      <c r="R6" s="3"/>
      <c r="S6" s="3"/>
      <c r="T6" s="3"/>
      <c r="U6" s="3"/>
      <c r="V6" s="3"/>
      <c r="W6" s="3"/>
      <c r="X6" s="3"/>
      <c r="Y6" s="3"/>
      <c r="Z6" s="3"/>
      <c r="AA6" s="3"/>
    </row>
    <row r="7" spans="1:28" ht="15" customHeight="1" x14ac:dyDescent="0.3">
      <c r="A7" s="3"/>
      <c r="B7" s="14"/>
      <c r="C7" s="1241" t="s">
        <v>37</v>
      </c>
      <c r="D7" s="1242"/>
      <c r="E7" s="1242"/>
      <c r="F7" s="1242"/>
      <c r="G7" s="1242"/>
      <c r="H7" s="1242"/>
      <c r="I7" s="1242"/>
      <c r="J7" s="1242"/>
      <c r="K7" s="1242"/>
      <c r="L7" s="1243"/>
      <c r="M7" s="1235" t="s">
        <v>83</v>
      </c>
      <c r="N7" s="1235"/>
      <c r="O7" s="1236"/>
      <c r="P7" s="1239"/>
      <c r="Q7" s="1240"/>
      <c r="R7" s="1240"/>
      <c r="S7" s="1240"/>
      <c r="T7" s="1240"/>
      <c r="U7" s="1240"/>
      <c r="V7" s="1240"/>
      <c r="W7" s="1240"/>
      <c r="X7" s="680"/>
      <c r="Y7" s="680"/>
      <c r="Z7" s="3"/>
      <c r="AA7" s="3"/>
    </row>
    <row r="8" spans="1:28" ht="15" customHeight="1" thickBot="1" x14ac:dyDescent="0.35">
      <c r="A8" s="3"/>
      <c r="B8" s="3"/>
      <c r="C8" s="1244"/>
      <c r="D8" s="1245"/>
      <c r="E8" s="1245"/>
      <c r="F8" s="1245"/>
      <c r="G8" s="1245"/>
      <c r="H8" s="1245"/>
      <c r="I8" s="1245"/>
      <c r="J8" s="1245"/>
      <c r="K8" s="1245"/>
      <c r="L8" s="1246"/>
      <c r="M8" s="1237"/>
      <c r="N8" s="1237"/>
      <c r="O8" s="1238"/>
      <c r="P8" s="1239"/>
      <c r="Q8" s="1240"/>
      <c r="R8" s="1240"/>
      <c r="S8" s="1240"/>
      <c r="T8" s="1240"/>
      <c r="U8" s="1240"/>
      <c r="V8" s="1240"/>
      <c r="W8" s="1240"/>
      <c r="X8" s="680"/>
      <c r="Y8" s="680"/>
      <c r="Z8" s="3"/>
      <c r="AA8" s="3"/>
    </row>
    <row r="9" spans="1:28" ht="15" customHeight="1" x14ac:dyDescent="0.3">
      <c r="A9" s="3"/>
      <c r="B9" s="3"/>
      <c r="C9" s="1247" t="s">
        <v>77</v>
      </c>
      <c r="D9" s="1248"/>
      <c r="E9" s="1248"/>
      <c r="F9" s="1248"/>
      <c r="G9" s="1248"/>
      <c r="H9" s="1248"/>
      <c r="I9" s="1248"/>
      <c r="J9" s="1248"/>
      <c r="K9" s="1248"/>
      <c r="L9" s="1249"/>
      <c r="M9" s="1255">
        <f>VLOOKUP('Scheme Entry - Baseline'!W7,C20:J31,6,FALSE)</f>
        <v>109742.68221428573</v>
      </c>
      <c r="N9" s="1256"/>
      <c r="O9" s="1256"/>
      <c r="P9" s="1250"/>
      <c r="Q9" s="1251"/>
      <c r="R9" s="1251"/>
      <c r="S9" s="1251"/>
      <c r="T9" s="1265"/>
      <c r="U9" s="1265"/>
      <c r="V9" s="1265"/>
      <c r="W9" s="1265"/>
      <c r="X9" s="683"/>
      <c r="Y9" s="683"/>
      <c r="Z9" s="3"/>
      <c r="AA9" s="3"/>
    </row>
    <row r="10" spans="1:28" ht="15" customHeight="1" x14ac:dyDescent="0.3">
      <c r="A10" s="3"/>
      <c r="B10" s="3"/>
      <c r="C10" s="1252" t="s">
        <v>375</v>
      </c>
      <c r="D10" s="1253"/>
      <c r="E10" s="1253"/>
      <c r="F10" s="1253"/>
      <c r="G10" s="1253"/>
      <c r="H10" s="1253"/>
      <c r="I10" s="1253"/>
      <c r="J10" s="1253"/>
      <c r="K10" s="1253"/>
      <c r="L10" s="1254"/>
      <c r="M10" s="1257">
        <f>'Scheme Entry - Baseline'!W23</f>
        <v>6</v>
      </c>
      <c r="N10" s="1258"/>
      <c r="O10" s="1258"/>
      <c r="P10" s="726"/>
      <c r="Q10" s="681"/>
      <c r="R10" s="681"/>
      <c r="S10" s="681"/>
      <c r="T10" s="681"/>
      <c r="U10" s="681"/>
      <c r="V10" s="681"/>
      <c r="W10" s="681"/>
      <c r="X10" s="681"/>
      <c r="Y10" s="681"/>
      <c r="Z10" s="3"/>
      <c r="AA10" s="3"/>
    </row>
    <row r="11" spans="1:28" ht="15" customHeight="1" x14ac:dyDescent="0.3">
      <c r="A11" s="3"/>
      <c r="B11" s="3"/>
      <c r="C11" s="1252" t="s">
        <v>78</v>
      </c>
      <c r="D11" s="1253"/>
      <c r="E11" s="1253"/>
      <c r="F11" s="1253"/>
      <c r="G11" s="1253"/>
      <c r="H11" s="1253"/>
      <c r="I11" s="1253"/>
      <c r="J11" s="1253"/>
      <c r="K11" s="1253"/>
      <c r="L11" s="1254"/>
      <c r="M11" s="1259">
        <f>'Scheme Entry - Baseline'!I7</f>
        <v>21.350369370165694</v>
      </c>
      <c r="N11" s="955"/>
      <c r="O11" s="955"/>
      <c r="P11" s="1182"/>
      <c r="Q11" s="955"/>
      <c r="R11" s="955"/>
      <c r="S11" s="955"/>
      <c r="T11" s="955"/>
      <c r="U11" s="955"/>
      <c r="V11" s="955"/>
      <c r="W11" s="955"/>
      <c r="X11" s="678"/>
      <c r="Y11" s="678"/>
      <c r="Z11" s="3"/>
      <c r="AA11" s="3"/>
    </row>
    <row r="12" spans="1:28" ht="15" customHeight="1" x14ac:dyDescent="0.3">
      <c r="A12" s="3"/>
      <c r="B12" s="3"/>
      <c r="C12" s="1252" t="s">
        <v>79</v>
      </c>
      <c r="D12" s="1253"/>
      <c r="E12" s="1253"/>
      <c r="F12" s="1253"/>
      <c r="G12" s="1253"/>
      <c r="H12" s="1253"/>
      <c r="I12" s="1253"/>
      <c r="J12" s="1253"/>
      <c r="K12" s="1253"/>
      <c r="L12" s="1254"/>
      <c r="M12" s="1260">
        <f>'Scheme Entry - Baseline'!L5*100</f>
        <v>5</v>
      </c>
      <c r="N12" s="1261"/>
      <c r="O12" s="1261"/>
      <c r="P12" s="1182"/>
      <c r="Q12" s="955"/>
      <c r="R12" s="955"/>
      <c r="S12" s="955"/>
      <c r="T12" s="955"/>
      <c r="U12" s="955"/>
      <c r="V12" s="955"/>
      <c r="W12" s="955"/>
      <c r="X12" s="678"/>
      <c r="Y12" s="678"/>
      <c r="Z12" s="3"/>
      <c r="AA12" s="3"/>
    </row>
    <row r="13" spans="1:28" ht="15" customHeight="1" x14ac:dyDescent="0.3">
      <c r="A13" s="3"/>
      <c r="B13" s="3"/>
      <c r="C13" s="1252" t="s">
        <v>80</v>
      </c>
      <c r="D13" s="1253"/>
      <c r="E13" s="1253"/>
      <c r="F13" s="1253"/>
      <c r="G13" s="1253"/>
      <c r="H13" s="1253"/>
      <c r="I13" s="1253"/>
      <c r="J13" s="1253"/>
      <c r="K13" s="1253"/>
      <c r="L13" s="1254"/>
      <c r="M13" s="1262">
        <f>(1+(M10/100))/(1+(M12/100))</f>
        <v>1.0095238095238095</v>
      </c>
      <c r="N13" s="1263"/>
      <c r="O13" s="1263"/>
      <c r="P13" s="1264"/>
      <c r="Q13" s="1263"/>
      <c r="R13" s="1263"/>
      <c r="S13" s="1263"/>
      <c r="T13" s="1263"/>
      <c r="U13" s="1263"/>
      <c r="V13" s="1263"/>
      <c r="W13" s="1263"/>
      <c r="X13" s="682"/>
      <c r="Y13" s="682"/>
      <c r="Z13" s="3"/>
      <c r="AA13" s="3"/>
    </row>
    <row r="14" spans="1:28" ht="15" customHeight="1" thickBot="1" x14ac:dyDescent="0.35">
      <c r="A14" s="3"/>
      <c r="B14" s="3"/>
      <c r="C14" s="1252" t="s">
        <v>81</v>
      </c>
      <c r="D14" s="1253"/>
      <c r="E14" s="1253"/>
      <c r="F14" s="1253"/>
      <c r="G14" s="1253"/>
      <c r="H14" s="1253"/>
      <c r="I14" s="1253"/>
      <c r="J14" s="1253"/>
      <c r="K14" s="1253"/>
      <c r="L14" s="1254"/>
      <c r="M14" s="1273">
        <f>(1-POWER(M13,'Scheme Entry - Baseline'!I5+1))/(1-M13)</f>
        <v>35.864919400407764</v>
      </c>
      <c r="N14" s="1266"/>
      <c r="O14" s="1266"/>
      <c r="P14" s="1274"/>
      <c r="Q14" s="1266"/>
      <c r="R14" s="1266"/>
      <c r="S14" s="1266"/>
      <c r="T14" s="1266"/>
      <c r="U14" s="1266"/>
      <c r="V14" s="1266"/>
      <c r="W14" s="1266"/>
      <c r="X14" s="684"/>
      <c r="Y14" s="684"/>
      <c r="Z14" s="3"/>
      <c r="AA14" s="3"/>
    </row>
    <row r="15" spans="1:28" ht="16.2" thickBot="1" x14ac:dyDescent="0.35">
      <c r="A15" s="3"/>
      <c r="B15" s="3"/>
      <c r="C15" s="1267" t="s">
        <v>82</v>
      </c>
      <c r="D15" s="1268"/>
      <c r="E15" s="1268"/>
      <c r="F15" s="1268"/>
      <c r="G15" s="1268"/>
      <c r="H15" s="1268"/>
      <c r="I15" s="1268"/>
      <c r="J15" s="1268"/>
      <c r="K15" s="1268"/>
      <c r="L15" s="1269"/>
      <c r="M15" s="1270">
        <f>IF(M10&lt;=M12,M9,(M9*(M14/M11)))</f>
        <v>184348.68194364052</v>
      </c>
      <c r="N15" s="1271"/>
      <c r="O15" s="1272"/>
      <c r="P15" s="1275"/>
      <c r="Q15" s="1276"/>
      <c r="R15" s="1276"/>
      <c r="S15" s="1276"/>
      <c r="T15" s="1277"/>
      <c r="U15" s="1277"/>
      <c r="V15" s="1277"/>
      <c r="W15" s="1277"/>
      <c r="X15" s="1277"/>
      <c r="Y15" s="1277"/>
      <c r="Z15" s="1277"/>
      <c r="AA15" s="1277"/>
    </row>
    <row r="16" spans="1:28" ht="15" customHeight="1" x14ac:dyDescent="0.3">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16"/>
    </row>
    <row r="17" spans="1:28" ht="15" customHeight="1" thickBot="1" x14ac:dyDescent="0.35">
      <c r="A17" s="65"/>
      <c r="C17" s="26" t="s">
        <v>141</v>
      </c>
      <c r="D17" s="65"/>
      <c r="E17" s="65"/>
      <c r="F17" s="65"/>
      <c r="G17" s="65"/>
      <c r="H17" s="65"/>
      <c r="I17" s="65"/>
      <c r="J17" s="65"/>
      <c r="K17" s="65"/>
      <c r="L17" s="65"/>
      <c r="M17" s="65"/>
      <c r="N17" s="65"/>
      <c r="O17" s="65"/>
      <c r="P17" s="65"/>
      <c r="Q17" s="65"/>
      <c r="R17" s="65"/>
      <c r="S17" s="65"/>
      <c r="T17" s="65"/>
      <c r="U17" s="65"/>
      <c r="V17" s="65"/>
      <c r="W17" s="65"/>
      <c r="X17" s="79"/>
      <c r="Y17" s="79"/>
      <c r="Z17" s="3"/>
      <c r="AA17" s="79"/>
      <c r="AB17" s="16"/>
    </row>
    <row r="18" spans="1:28" ht="15" customHeight="1" x14ac:dyDescent="0.3">
      <c r="A18" s="65"/>
      <c r="B18" s="31"/>
      <c r="C18" s="1223" t="s">
        <v>130</v>
      </c>
      <c r="D18" s="1225"/>
      <c r="E18" s="1188" t="s">
        <v>92</v>
      </c>
      <c r="F18" s="1060"/>
      <c r="G18" s="1189"/>
      <c r="H18" s="1223" t="s">
        <v>131</v>
      </c>
      <c r="I18" s="1224"/>
      <c r="J18" s="1225"/>
      <c r="K18" s="75"/>
      <c r="L18" s="75"/>
      <c r="M18" s="1293"/>
      <c r="N18" s="1293"/>
      <c r="O18" s="75"/>
      <c r="P18" s="75"/>
      <c r="Q18" s="75"/>
      <c r="R18" s="75"/>
      <c r="S18" s="75"/>
      <c r="T18" s="75"/>
      <c r="U18" s="75"/>
      <c r="V18" s="75"/>
      <c r="W18" s="75"/>
      <c r="X18" s="75"/>
      <c r="Y18" s="75"/>
      <c r="Z18" s="3"/>
      <c r="AA18" s="79"/>
      <c r="AB18" s="16"/>
    </row>
    <row r="19" spans="1:28" ht="15" customHeight="1" thickBot="1" x14ac:dyDescent="0.35">
      <c r="A19" s="65"/>
      <c r="B19" s="31"/>
      <c r="C19" s="1226"/>
      <c r="D19" s="1228"/>
      <c r="E19" s="1192"/>
      <c r="F19" s="1061"/>
      <c r="G19" s="1193"/>
      <c r="H19" s="1226"/>
      <c r="I19" s="1227"/>
      <c r="J19" s="1228"/>
      <c r="K19" s="75"/>
      <c r="L19" s="75"/>
      <c r="M19" s="75"/>
      <c r="N19" s="75"/>
      <c r="O19" s="75"/>
      <c r="P19" s="75"/>
      <c r="Q19" s="75"/>
      <c r="R19" s="75"/>
      <c r="S19" s="75"/>
      <c r="T19" s="75"/>
      <c r="U19" s="75"/>
      <c r="V19" s="75"/>
      <c r="W19" s="75"/>
      <c r="X19" s="75"/>
      <c r="Y19" s="75"/>
      <c r="Z19" s="3"/>
      <c r="AA19" s="79"/>
      <c r="AB19" s="16"/>
    </row>
    <row r="20" spans="1:28" ht="15" customHeight="1" x14ac:dyDescent="0.3">
      <c r="A20" s="65"/>
      <c r="B20" s="65"/>
      <c r="C20" s="121" t="s">
        <v>113</v>
      </c>
      <c r="D20" s="122"/>
      <c r="E20" s="1284">
        <f>'Burn Profiles'!P13</f>
        <v>1126767.8571428573</v>
      </c>
      <c r="F20" s="1285"/>
      <c r="G20" s="1286"/>
      <c r="H20" s="1232">
        <f>'Burn Profiles'!$D$134</f>
        <v>146479.82142857145</v>
      </c>
      <c r="I20" s="1233"/>
      <c r="J20" s="1234"/>
      <c r="K20" s="75"/>
      <c r="L20" s="75"/>
      <c r="M20" s="75"/>
      <c r="N20" s="75"/>
      <c r="O20" s="75"/>
      <c r="P20" s="75"/>
      <c r="Q20" s="75"/>
      <c r="R20" s="75"/>
      <c r="S20" s="75"/>
      <c r="T20" s="75"/>
      <c r="U20" s="75"/>
      <c r="V20" s="75"/>
      <c r="W20" s="75"/>
      <c r="X20" s="75"/>
      <c r="Y20" s="75"/>
      <c r="Z20" s="3"/>
      <c r="AA20" s="79"/>
      <c r="AB20" s="16"/>
    </row>
    <row r="21" spans="1:28" ht="15" customHeight="1" x14ac:dyDescent="0.3">
      <c r="A21" s="65"/>
      <c r="B21" s="65"/>
      <c r="C21" s="123" t="s">
        <v>114</v>
      </c>
      <c r="D21" s="124"/>
      <c r="E21" s="1281">
        <f>'Burn Profiles'!P22</f>
        <v>997189.55357142864</v>
      </c>
      <c r="F21" s="1282"/>
      <c r="G21" s="1283"/>
      <c r="H21" s="1229">
        <f>'Burn Profiles'!$D$135</f>
        <v>129634.64196428572</v>
      </c>
      <c r="I21" s="1230"/>
      <c r="J21" s="1231"/>
      <c r="K21" s="41"/>
      <c r="L21" s="41"/>
      <c r="M21" s="54"/>
      <c r="N21" s="54"/>
      <c r="O21" s="54"/>
      <c r="P21" s="54"/>
      <c r="Q21" s="54"/>
      <c r="R21" s="54"/>
      <c r="S21" s="54"/>
      <c r="T21" s="54"/>
      <c r="U21" s="54"/>
      <c r="V21" s="54"/>
      <c r="W21" s="54"/>
      <c r="X21" s="54"/>
      <c r="Y21" s="54"/>
      <c r="Z21" s="3"/>
      <c r="AA21" s="79"/>
      <c r="AB21" s="16"/>
    </row>
    <row r="22" spans="1:28" ht="15" customHeight="1" x14ac:dyDescent="0.3">
      <c r="A22" s="65"/>
      <c r="B22" s="65"/>
      <c r="C22" s="125" t="s">
        <v>117</v>
      </c>
      <c r="D22" s="126"/>
      <c r="E22" s="1290">
        <f>'Burn Profiles'!P30</f>
        <v>955724.49642857141</v>
      </c>
      <c r="F22" s="1291"/>
      <c r="G22" s="1292"/>
      <c r="H22" s="1214">
        <f>'Burn Profiles'!$D$136</f>
        <v>124244.18453571427</v>
      </c>
      <c r="I22" s="1215"/>
      <c r="J22" s="1216"/>
      <c r="K22" s="41"/>
      <c r="L22" s="41"/>
      <c r="M22" s="54"/>
      <c r="N22" s="54"/>
      <c r="O22" s="54"/>
      <c r="P22" s="54"/>
      <c r="Q22" s="54"/>
      <c r="R22" s="54"/>
      <c r="S22" s="54"/>
      <c r="T22" s="54"/>
      <c r="U22" s="54"/>
      <c r="V22" s="54"/>
      <c r="W22" s="54"/>
      <c r="X22" s="54"/>
      <c r="Y22" s="54"/>
      <c r="Z22" s="3"/>
      <c r="AA22" s="79"/>
    </row>
    <row r="23" spans="1:28" ht="15" customHeight="1" x14ac:dyDescent="0.3">
      <c r="A23" s="3"/>
      <c r="B23" s="3"/>
      <c r="C23" s="127" t="s">
        <v>118</v>
      </c>
      <c r="D23" s="128"/>
      <c r="E23" s="1278">
        <f>'Burn Profiles'!P40</f>
        <v>867611.25</v>
      </c>
      <c r="F23" s="1279"/>
      <c r="G23" s="1280"/>
      <c r="H23" s="1217">
        <f>'Burn Profiles'!$D$137</f>
        <v>112789.46250000001</v>
      </c>
      <c r="I23" s="1218"/>
      <c r="J23" s="1219"/>
      <c r="K23" s="3"/>
      <c r="L23" s="3"/>
      <c r="M23" s="3"/>
      <c r="N23" s="3"/>
      <c r="O23" s="3"/>
      <c r="P23" s="3"/>
      <c r="Q23" s="3"/>
      <c r="R23" s="3"/>
      <c r="S23" s="3"/>
      <c r="T23" s="3"/>
      <c r="U23" s="3"/>
      <c r="V23" s="3"/>
      <c r="W23" s="3"/>
      <c r="X23" s="3"/>
      <c r="Y23" s="3"/>
      <c r="Z23" s="3"/>
      <c r="AA23" s="3"/>
    </row>
    <row r="24" spans="1:28" ht="15" customHeight="1" x14ac:dyDescent="0.3">
      <c r="A24" s="65"/>
      <c r="B24" s="65"/>
      <c r="C24" s="129" t="s">
        <v>120</v>
      </c>
      <c r="D24" s="130"/>
      <c r="E24" s="1281">
        <f>'Burn Profiles'!P49</f>
        <v>912681.96428571432</v>
      </c>
      <c r="F24" s="1282"/>
      <c r="G24" s="1283"/>
      <c r="H24" s="1214">
        <f>'Burn Profiles'!$D$138</f>
        <v>118648.65535714287</v>
      </c>
      <c r="I24" s="1215"/>
      <c r="J24" s="1216"/>
      <c r="K24" s="65"/>
      <c r="L24" s="65"/>
      <c r="M24" s="65"/>
      <c r="N24" s="65"/>
      <c r="O24" s="65"/>
      <c r="P24" s="65"/>
      <c r="Q24" s="65"/>
      <c r="R24" s="65"/>
      <c r="S24" s="65"/>
      <c r="T24" s="65"/>
      <c r="U24" s="65"/>
      <c r="V24" s="65"/>
      <c r="W24" s="65"/>
      <c r="X24" s="79"/>
      <c r="Y24" s="79"/>
      <c r="Z24" s="3"/>
      <c r="AA24" s="79"/>
    </row>
    <row r="25" spans="1:28" ht="15" customHeight="1" x14ac:dyDescent="0.3">
      <c r="A25" s="65"/>
      <c r="B25" s="65"/>
      <c r="C25" s="131" t="s">
        <v>121</v>
      </c>
      <c r="D25" s="132"/>
      <c r="E25" s="1290">
        <f>'Burn Profiles'!P57</f>
        <v>844174.47857142868</v>
      </c>
      <c r="F25" s="1291"/>
      <c r="G25" s="1292"/>
      <c r="H25" s="1214">
        <f>'Burn Profiles'!$D$139</f>
        <v>109742.68221428573</v>
      </c>
      <c r="I25" s="1215"/>
      <c r="J25" s="1216"/>
      <c r="K25" s="65"/>
      <c r="L25" s="65"/>
      <c r="M25" s="65"/>
      <c r="N25" s="65"/>
      <c r="O25" s="65"/>
      <c r="P25" s="65"/>
      <c r="Q25" s="65"/>
      <c r="R25" s="65"/>
      <c r="S25" s="65"/>
      <c r="T25" s="65"/>
      <c r="U25" s="65"/>
      <c r="V25" s="65"/>
      <c r="W25" s="65"/>
      <c r="X25" s="79"/>
      <c r="Y25" s="79"/>
      <c r="Z25" s="3"/>
      <c r="AA25" s="79"/>
    </row>
    <row r="26" spans="1:28" ht="15" customHeight="1" x14ac:dyDescent="0.3">
      <c r="A26" s="65"/>
      <c r="B26" s="65"/>
      <c r="C26" s="133" t="s">
        <v>122</v>
      </c>
      <c r="D26" s="134"/>
      <c r="E26" s="1278">
        <f>'Burn Profiles'!P72</f>
        <v>698596.07142857148</v>
      </c>
      <c r="F26" s="1279"/>
      <c r="G26" s="1280"/>
      <c r="H26" s="1214">
        <f>'Burn Profiles'!$D$140</f>
        <v>90817.489285714299</v>
      </c>
      <c r="I26" s="1215"/>
      <c r="J26" s="1216"/>
      <c r="K26" s="65"/>
      <c r="L26" s="65"/>
      <c r="M26" s="65"/>
      <c r="N26" s="65"/>
      <c r="O26" s="65"/>
      <c r="P26" s="65"/>
      <c r="Q26" s="65"/>
      <c r="R26" s="65"/>
      <c r="S26" s="65"/>
      <c r="T26" s="65"/>
      <c r="U26" s="65"/>
      <c r="V26" s="65"/>
      <c r="W26" s="65"/>
      <c r="X26" s="79"/>
      <c r="Y26" s="79"/>
      <c r="Z26" s="3"/>
      <c r="AA26" s="79"/>
    </row>
    <row r="27" spans="1:28" ht="15" customHeight="1" x14ac:dyDescent="0.3">
      <c r="A27" s="65"/>
      <c r="B27" s="65"/>
      <c r="C27" s="135" t="s">
        <v>126</v>
      </c>
      <c r="D27" s="136"/>
      <c r="E27" s="1281">
        <f>'Burn Profiles'!P82</f>
        <v>684511.4732142858</v>
      </c>
      <c r="F27" s="1282"/>
      <c r="G27" s="1283"/>
      <c r="H27" s="1229">
        <f>'Burn Profiles'!$D$141</f>
        <v>88986.491517857154</v>
      </c>
      <c r="I27" s="1230"/>
      <c r="J27" s="1231"/>
      <c r="K27" s="65"/>
      <c r="L27" s="65"/>
      <c r="M27" s="65"/>
      <c r="N27" s="65"/>
      <c r="O27" s="65"/>
      <c r="P27" s="65"/>
      <c r="Q27" s="65"/>
      <c r="R27" s="65"/>
      <c r="S27" s="65"/>
      <c r="T27" s="65"/>
      <c r="U27" s="65"/>
      <c r="V27" s="65"/>
      <c r="W27" s="65"/>
      <c r="X27" s="79"/>
      <c r="Y27" s="79"/>
      <c r="Z27" s="3"/>
      <c r="AA27" s="79"/>
    </row>
    <row r="28" spans="1:28" ht="15" customHeight="1" x14ac:dyDescent="0.3">
      <c r="A28" s="65"/>
      <c r="B28" s="65"/>
      <c r="C28" s="137" t="s">
        <v>127</v>
      </c>
      <c r="D28" s="138"/>
      <c r="E28" s="1290">
        <f>'Burn Profiles'!P91</f>
        <v>680004.40178571432</v>
      </c>
      <c r="F28" s="1291"/>
      <c r="G28" s="1292"/>
      <c r="H28" s="1214">
        <f>'Burn Profiles'!$D$142</f>
        <v>88400.572232142877</v>
      </c>
      <c r="I28" s="1215"/>
      <c r="J28" s="1216"/>
      <c r="K28" s="65"/>
      <c r="L28" s="65"/>
      <c r="M28" s="65"/>
      <c r="N28" s="65"/>
      <c r="O28" s="65"/>
      <c r="P28" s="65"/>
      <c r="Q28" s="65"/>
      <c r="R28" s="65"/>
      <c r="S28" s="65"/>
      <c r="T28" s="65"/>
      <c r="U28" s="65"/>
      <c r="V28" s="65"/>
      <c r="W28" s="65"/>
      <c r="X28" s="79"/>
      <c r="Y28" s="79"/>
      <c r="Z28" s="3"/>
      <c r="AA28" s="79"/>
    </row>
    <row r="29" spans="1:28" ht="15" customHeight="1" x14ac:dyDescent="0.3">
      <c r="A29" s="65"/>
      <c r="B29" s="65"/>
      <c r="C29" s="139" t="s">
        <v>128</v>
      </c>
      <c r="D29" s="140"/>
      <c r="E29" s="1290">
        <f>'Burn Profiles'!P105</f>
        <v>652623.94285714289</v>
      </c>
      <c r="F29" s="1291"/>
      <c r="G29" s="1292"/>
      <c r="H29" s="1214">
        <f>'Burn Profiles'!$D$143</f>
        <v>84841.112571428588</v>
      </c>
      <c r="I29" s="1215"/>
      <c r="J29" s="1216"/>
      <c r="K29" s="65"/>
      <c r="L29" s="65"/>
      <c r="M29" s="65"/>
      <c r="N29" s="65"/>
      <c r="O29" s="65"/>
      <c r="P29" s="65"/>
      <c r="Q29" s="65"/>
      <c r="R29" s="65"/>
      <c r="S29" s="65"/>
      <c r="T29" s="65"/>
      <c r="U29" s="65"/>
      <c r="V29" s="65"/>
      <c r="W29" s="65"/>
      <c r="X29" s="79"/>
      <c r="Y29" s="79"/>
      <c r="Z29" s="3"/>
      <c r="AA29" s="79"/>
    </row>
    <row r="30" spans="1:28" ht="15" customHeight="1" x14ac:dyDescent="0.3">
      <c r="A30" s="65"/>
      <c r="B30" s="65"/>
      <c r="C30" s="141" t="s">
        <v>129</v>
      </c>
      <c r="D30" s="142"/>
      <c r="E30" s="1278">
        <f>'Burn Profiles'!P114</f>
        <v>559552.91785714286</v>
      </c>
      <c r="F30" s="1279"/>
      <c r="G30" s="1280"/>
      <c r="H30" s="1217">
        <f>'Burn Profiles'!$D$144</f>
        <v>72741.879321428569</v>
      </c>
      <c r="I30" s="1218"/>
      <c r="J30" s="1219"/>
      <c r="K30" s="65"/>
      <c r="L30" s="65"/>
      <c r="M30" s="65"/>
      <c r="N30" s="65"/>
      <c r="O30" s="65"/>
      <c r="P30" s="65"/>
      <c r="Q30" s="65"/>
      <c r="R30" s="65"/>
      <c r="S30" s="65"/>
      <c r="T30" s="65"/>
      <c r="U30" s="65"/>
      <c r="V30" s="65"/>
      <c r="W30" s="65"/>
      <c r="X30" s="79"/>
      <c r="Y30" s="79"/>
      <c r="Z30" s="3"/>
      <c r="AA30" s="79"/>
    </row>
    <row r="31" spans="1:28" ht="15" customHeight="1" thickBot="1" x14ac:dyDescent="0.35">
      <c r="A31" s="65"/>
      <c r="B31" s="65"/>
      <c r="C31" s="143" t="s">
        <v>135</v>
      </c>
      <c r="D31" s="144"/>
      <c r="E31" s="1287">
        <f>'Burn Profiles'!P122</f>
        <v>563383.92857142864</v>
      </c>
      <c r="F31" s="1288"/>
      <c r="G31" s="1289"/>
      <c r="H31" s="1220">
        <f>'Burn Profiles'!$D$145</f>
        <v>73239.910714285725</v>
      </c>
      <c r="I31" s="1221"/>
      <c r="J31" s="1222"/>
      <c r="K31" s="65"/>
      <c r="L31" s="65"/>
      <c r="M31" s="65"/>
      <c r="N31" s="65"/>
      <c r="O31" s="65"/>
      <c r="P31" s="65"/>
      <c r="Q31" s="65"/>
      <c r="R31" s="65"/>
      <c r="S31" s="65"/>
      <c r="T31" s="65"/>
      <c r="U31" s="65"/>
      <c r="V31" s="65"/>
      <c r="W31" s="65"/>
      <c r="X31" s="79"/>
      <c r="Y31" s="79"/>
      <c r="Z31" s="3"/>
      <c r="AA31" s="79"/>
    </row>
    <row r="32" spans="1:28" ht="15" customHeight="1" x14ac:dyDescent="0.3">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row>
  </sheetData>
  <mergeCells count="57">
    <mergeCell ref="M18:N18"/>
    <mergeCell ref="E22:G22"/>
    <mergeCell ref="E23:G23"/>
    <mergeCell ref="C18:D19"/>
    <mergeCell ref="E18:G19"/>
    <mergeCell ref="E30:G30"/>
    <mergeCell ref="E21:G21"/>
    <mergeCell ref="E20:G20"/>
    <mergeCell ref="E31:G31"/>
    <mergeCell ref="E24:G24"/>
    <mergeCell ref="E25:G25"/>
    <mergeCell ref="E26:G26"/>
    <mergeCell ref="E27:G27"/>
    <mergeCell ref="E28:G28"/>
    <mergeCell ref="E29:G29"/>
    <mergeCell ref="T14:W14"/>
    <mergeCell ref="C15:L15"/>
    <mergeCell ref="M15:O15"/>
    <mergeCell ref="C14:L14"/>
    <mergeCell ref="M14:O14"/>
    <mergeCell ref="P14:S14"/>
    <mergeCell ref="P15:AA15"/>
    <mergeCell ref="P11:S11"/>
    <mergeCell ref="P12:S12"/>
    <mergeCell ref="P13:S13"/>
    <mergeCell ref="T9:W9"/>
    <mergeCell ref="T11:W11"/>
    <mergeCell ref="T12:W12"/>
    <mergeCell ref="T13:W13"/>
    <mergeCell ref="C10:L10"/>
    <mergeCell ref="C11:L11"/>
    <mergeCell ref="C12:L12"/>
    <mergeCell ref="C13:L13"/>
    <mergeCell ref="M9:O9"/>
    <mergeCell ref="M10:O10"/>
    <mergeCell ref="M11:O11"/>
    <mergeCell ref="M12:O12"/>
    <mergeCell ref="M13:O13"/>
    <mergeCell ref="M7:O8"/>
    <mergeCell ref="P7:S8"/>
    <mergeCell ref="T7:W8"/>
    <mergeCell ref="C7:L8"/>
    <mergeCell ref="C9:L9"/>
    <mergeCell ref="P9:S9"/>
    <mergeCell ref="H29:J29"/>
    <mergeCell ref="H30:J30"/>
    <mergeCell ref="H31:J31"/>
    <mergeCell ref="H18:J19"/>
    <mergeCell ref="H24:J24"/>
    <mergeCell ref="H25:J25"/>
    <mergeCell ref="H26:J26"/>
    <mergeCell ref="H27:J27"/>
    <mergeCell ref="H28:J28"/>
    <mergeCell ref="H20:J20"/>
    <mergeCell ref="H21:J21"/>
    <mergeCell ref="H22:J22"/>
    <mergeCell ref="H23:J23"/>
  </mergeCells>
  <dataValidations disablePrompts="1" count="4">
    <dataValidation allowBlank="1" showInputMessage="1" showErrorMessage="1" prompt="53.347901" sqref="JQ65498 TM65498 ADI65498 ANE65498 AXA65498 BGW65498 BQS65498 CAO65498 CKK65498 CUG65498 DEC65498 DNY65498 DXU65498 EHQ65498 ERM65498 FBI65498 FLE65498 FVA65498 GEW65498 GOS65498 GYO65498 HIK65498 HSG65498 ICC65498 ILY65498 IVU65498 JFQ65498 JPM65498 JZI65498 KJE65498 KTA65498 LCW65498 LMS65498 LWO65498 MGK65498 MQG65498 NAC65498 NJY65498 NTU65498 ODQ65498 ONM65498 OXI65498 PHE65498 PRA65498 QAW65498 QKS65498 QUO65498 REK65498 ROG65498 RYC65498 SHY65498 SRU65498 TBQ65498 TLM65498 TVI65498 UFE65498 UPA65498 UYW65498 VIS65498 VSO65498 WCK65498 WMG65498 WWC65498 JQ131034 TM131034 ADI131034 ANE131034 AXA131034 BGW131034 BQS131034 CAO131034 CKK131034 CUG131034 DEC131034 DNY131034 DXU131034 EHQ131034 ERM131034 FBI131034 FLE131034 FVA131034 GEW131034 GOS131034 GYO131034 HIK131034 HSG131034 ICC131034 ILY131034 IVU131034 JFQ131034 JPM131034 JZI131034 KJE131034 KTA131034 LCW131034 LMS131034 LWO131034 MGK131034 MQG131034 NAC131034 NJY131034 NTU131034 ODQ131034 ONM131034 OXI131034 PHE131034 PRA131034 QAW131034 QKS131034 QUO131034 REK131034 ROG131034 RYC131034 SHY131034 SRU131034 TBQ131034 TLM131034 TVI131034 UFE131034 UPA131034 UYW131034 VIS131034 VSO131034 WCK131034 WMG131034 WWC131034 JQ196570 TM196570 ADI196570 ANE196570 AXA196570 BGW196570 BQS196570 CAO196570 CKK196570 CUG196570 DEC196570 DNY196570 DXU196570 EHQ196570 ERM196570 FBI196570 FLE196570 FVA196570 GEW196570 GOS196570 GYO196570 HIK196570 HSG196570 ICC196570 ILY196570 IVU196570 JFQ196570 JPM196570 JZI196570 KJE196570 KTA196570 LCW196570 LMS196570 LWO196570 MGK196570 MQG196570 NAC196570 NJY196570 NTU196570 ODQ196570 ONM196570 OXI196570 PHE196570 PRA196570 QAW196570 QKS196570 QUO196570 REK196570 ROG196570 RYC196570 SHY196570 SRU196570 TBQ196570 TLM196570 TVI196570 UFE196570 UPA196570 UYW196570 VIS196570 VSO196570 WCK196570 WMG196570 WWC196570 JQ262106 TM262106 ADI262106 ANE262106 AXA262106 BGW262106 BQS262106 CAO262106 CKK262106 CUG262106 DEC262106 DNY262106 DXU262106 EHQ262106 ERM262106 FBI262106 FLE262106 FVA262106 GEW262106 GOS262106 GYO262106 HIK262106 HSG262106 ICC262106 ILY262106 IVU262106 JFQ262106 JPM262106 JZI262106 KJE262106 KTA262106 LCW262106 LMS262106 LWO262106 MGK262106 MQG262106 NAC262106 NJY262106 NTU262106 ODQ262106 ONM262106 OXI262106 PHE262106 PRA262106 QAW262106 QKS262106 QUO262106 REK262106 ROG262106 RYC262106 SHY262106 SRU262106 TBQ262106 TLM262106 TVI262106 UFE262106 UPA262106 UYW262106 VIS262106 VSO262106 WCK262106 WMG262106 WWC262106 JQ327642 TM327642 ADI327642 ANE327642 AXA327642 BGW327642 BQS327642 CAO327642 CKK327642 CUG327642 DEC327642 DNY327642 DXU327642 EHQ327642 ERM327642 FBI327642 FLE327642 FVA327642 GEW327642 GOS327642 GYO327642 HIK327642 HSG327642 ICC327642 ILY327642 IVU327642 JFQ327642 JPM327642 JZI327642 KJE327642 KTA327642 LCW327642 LMS327642 LWO327642 MGK327642 MQG327642 NAC327642 NJY327642 NTU327642 ODQ327642 ONM327642 OXI327642 PHE327642 PRA327642 QAW327642 QKS327642 QUO327642 REK327642 ROG327642 RYC327642 SHY327642 SRU327642 TBQ327642 TLM327642 TVI327642 UFE327642 UPA327642 UYW327642 VIS327642 VSO327642 WCK327642 WMG327642 WWC327642 JQ393178 TM393178 ADI393178 ANE393178 AXA393178 BGW393178 BQS393178 CAO393178 CKK393178 CUG393178 DEC393178 DNY393178 DXU393178 EHQ393178 ERM393178 FBI393178 FLE393178 FVA393178 GEW393178 GOS393178 GYO393178 HIK393178 HSG393178 ICC393178 ILY393178 IVU393178 JFQ393178 JPM393178 JZI393178 KJE393178 KTA393178 LCW393178 LMS393178 LWO393178 MGK393178 MQG393178 NAC393178 NJY393178 NTU393178 ODQ393178 ONM393178 OXI393178 PHE393178 PRA393178 QAW393178 QKS393178 QUO393178 REK393178 ROG393178 RYC393178 SHY393178 SRU393178 TBQ393178 TLM393178 TVI393178 UFE393178 UPA393178 UYW393178 VIS393178 VSO393178 WCK393178 WMG393178 WWC393178 JQ458714 TM458714 ADI458714 ANE458714 AXA458714 BGW458714 BQS458714 CAO458714 CKK458714 CUG458714 DEC458714 DNY458714 DXU458714 EHQ458714 ERM458714 FBI458714 FLE458714 FVA458714 GEW458714 GOS458714 GYO458714 HIK458714 HSG458714 ICC458714 ILY458714 IVU458714 JFQ458714 JPM458714 JZI458714 KJE458714 KTA458714 LCW458714 LMS458714 LWO458714 MGK458714 MQG458714 NAC458714 NJY458714 NTU458714 ODQ458714 ONM458714 OXI458714 PHE458714 PRA458714 QAW458714 QKS458714 QUO458714 REK458714 ROG458714 RYC458714 SHY458714 SRU458714 TBQ458714 TLM458714 TVI458714 UFE458714 UPA458714 UYW458714 VIS458714 VSO458714 WCK458714 WMG458714 WWC458714 JQ524250 TM524250 ADI524250 ANE524250 AXA524250 BGW524250 BQS524250 CAO524250 CKK524250 CUG524250 DEC524250 DNY524250 DXU524250 EHQ524250 ERM524250 FBI524250 FLE524250 FVA524250 GEW524250 GOS524250 GYO524250 HIK524250 HSG524250 ICC524250 ILY524250 IVU524250 JFQ524250 JPM524250 JZI524250 KJE524250 KTA524250 LCW524250 LMS524250 LWO524250 MGK524250 MQG524250 NAC524250 NJY524250 NTU524250 ODQ524250 ONM524250 OXI524250 PHE524250 PRA524250 QAW524250 QKS524250 QUO524250 REK524250 ROG524250 RYC524250 SHY524250 SRU524250 TBQ524250 TLM524250 TVI524250 UFE524250 UPA524250 UYW524250 VIS524250 VSO524250 WCK524250 WMG524250 WWC524250 JQ589786 TM589786 ADI589786 ANE589786 AXA589786 BGW589786 BQS589786 CAO589786 CKK589786 CUG589786 DEC589786 DNY589786 DXU589786 EHQ589786 ERM589786 FBI589786 FLE589786 FVA589786 GEW589786 GOS589786 GYO589786 HIK589786 HSG589786 ICC589786 ILY589786 IVU589786 JFQ589786 JPM589786 JZI589786 KJE589786 KTA589786 LCW589786 LMS589786 LWO589786 MGK589786 MQG589786 NAC589786 NJY589786 NTU589786 ODQ589786 ONM589786 OXI589786 PHE589786 PRA589786 QAW589786 QKS589786 QUO589786 REK589786 ROG589786 RYC589786 SHY589786 SRU589786 TBQ589786 TLM589786 TVI589786 UFE589786 UPA589786 UYW589786 VIS589786 VSO589786 WCK589786 WMG589786 WWC589786 JQ655322 TM655322 ADI655322 ANE655322 AXA655322 BGW655322 BQS655322 CAO655322 CKK655322 CUG655322 DEC655322 DNY655322 DXU655322 EHQ655322 ERM655322 FBI655322 FLE655322 FVA655322 GEW655322 GOS655322 GYO655322 HIK655322 HSG655322 ICC655322 ILY655322 IVU655322 JFQ655322 JPM655322 JZI655322 KJE655322 KTA655322 LCW655322 LMS655322 LWO655322 MGK655322 MQG655322 NAC655322 NJY655322 NTU655322 ODQ655322 ONM655322 OXI655322 PHE655322 PRA655322 QAW655322 QKS655322 QUO655322 REK655322 ROG655322 RYC655322 SHY655322 SRU655322 TBQ655322 TLM655322 TVI655322 UFE655322 UPA655322 UYW655322 VIS655322 VSO655322 WCK655322 WMG655322 WWC655322 JQ720858 TM720858 ADI720858 ANE720858 AXA720858 BGW720858 BQS720858 CAO720858 CKK720858 CUG720858 DEC720858 DNY720858 DXU720858 EHQ720858 ERM720858 FBI720858 FLE720858 FVA720858 GEW720858 GOS720858 GYO720858 HIK720858 HSG720858 ICC720858 ILY720858 IVU720858 JFQ720858 JPM720858 JZI720858 KJE720858 KTA720858 LCW720858 LMS720858 LWO720858 MGK720858 MQG720858 NAC720858 NJY720858 NTU720858 ODQ720858 ONM720858 OXI720858 PHE720858 PRA720858 QAW720858 QKS720858 QUO720858 REK720858 ROG720858 RYC720858 SHY720858 SRU720858 TBQ720858 TLM720858 TVI720858 UFE720858 UPA720858 UYW720858 VIS720858 VSO720858 WCK720858 WMG720858 WWC720858 JQ786394 TM786394 ADI786394 ANE786394 AXA786394 BGW786394 BQS786394 CAO786394 CKK786394 CUG786394 DEC786394 DNY786394 DXU786394 EHQ786394 ERM786394 FBI786394 FLE786394 FVA786394 GEW786394 GOS786394 GYO786394 HIK786394 HSG786394 ICC786394 ILY786394 IVU786394 JFQ786394 JPM786394 JZI786394 KJE786394 KTA786394 LCW786394 LMS786394 LWO786394 MGK786394 MQG786394 NAC786394 NJY786394 NTU786394 ODQ786394 ONM786394 OXI786394 PHE786394 PRA786394 QAW786394 QKS786394 QUO786394 REK786394 ROG786394 RYC786394 SHY786394 SRU786394 TBQ786394 TLM786394 TVI786394 UFE786394 UPA786394 UYW786394 VIS786394 VSO786394 WCK786394 WMG786394 WWC786394 JQ851930 TM851930 ADI851930 ANE851930 AXA851930 BGW851930 BQS851930 CAO851930 CKK851930 CUG851930 DEC851930 DNY851930 DXU851930 EHQ851930 ERM851930 FBI851930 FLE851930 FVA851930 GEW851930 GOS851930 GYO851930 HIK851930 HSG851930 ICC851930 ILY851930 IVU851930 JFQ851930 JPM851930 JZI851930 KJE851930 KTA851930 LCW851930 LMS851930 LWO851930 MGK851930 MQG851930 NAC851930 NJY851930 NTU851930 ODQ851930 ONM851930 OXI851930 PHE851930 PRA851930 QAW851930 QKS851930 QUO851930 REK851930 ROG851930 RYC851930 SHY851930 SRU851930 TBQ851930 TLM851930 TVI851930 UFE851930 UPA851930 UYW851930 VIS851930 VSO851930 WCK851930 WMG851930 WWC851930 JQ917466 TM917466 ADI917466 ANE917466 AXA917466 BGW917466 BQS917466 CAO917466 CKK917466 CUG917466 DEC917466 DNY917466 DXU917466 EHQ917466 ERM917466 FBI917466 FLE917466 FVA917466 GEW917466 GOS917466 GYO917466 HIK917466 HSG917466 ICC917466 ILY917466 IVU917466 JFQ917466 JPM917466 JZI917466 KJE917466 KTA917466 LCW917466 LMS917466 LWO917466 MGK917466 MQG917466 NAC917466 NJY917466 NTU917466 ODQ917466 ONM917466 OXI917466 PHE917466 PRA917466 QAW917466 QKS917466 QUO917466 REK917466 ROG917466 RYC917466 SHY917466 SRU917466 TBQ917466 TLM917466 TVI917466 UFE917466 UPA917466 UYW917466 VIS917466 VSO917466 WCK917466 WMG917466 WWC917466 JQ983002 TM983002 ADI983002 ANE983002 AXA983002 BGW983002 BQS983002 CAO983002 CKK983002 CUG983002 DEC983002 DNY983002 DXU983002 EHQ983002 ERM983002 FBI983002 FLE983002 FVA983002 GEW983002 GOS983002 GYO983002 HIK983002 HSG983002 ICC983002 ILY983002 IVU983002 JFQ983002 JPM983002 JZI983002 KJE983002 KTA983002 LCW983002 LMS983002 LWO983002 MGK983002 MQG983002 NAC983002 NJY983002 NTU983002 ODQ983002 ONM983002 OXI983002 PHE983002 PRA983002 QAW983002 QKS983002 QUO983002 REK983002 ROG983002 RYC983002 SHY983002 SRU983002 TBQ983002 TLM983002 TVI983002 UFE983002 UPA983002 UYW983002 VIS983002 VSO983002 WCK983002 WMG983002 WWC983002"/>
    <dataValidation allowBlank="1" showInputMessage="1" showErrorMessage="1" prompt="-6.294484" sqref="JS65498 TO65498 ADK65498 ANG65498 AXC65498 BGY65498 BQU65498 CAQ65498 CKM65498 CUI65498 DEE65498 DOA65498 DXW65498 EHS65498 ERO65498 FBK65498 FLG65498 FVC65498 GEY65498 GOU65498 GYQ65498 HIM65498 HSI65498 ICE65498 IMA65498 IVW65498 JFS65498 JPO65498 JZK65498 KJG65498 KTC65498 LCY65498 LMU65498 LWQ65498 MGM65498 MQI65498 NAE65498 NKA65498 NTW65498 ODS65498 ONO65498 OXK65498 PHG65498 PRC65498 QAY65498 QKU65498 QUQ65498 REM65498 ROI65498 RYE65498 SIA65498 SRW65498 TBS65498 TLO65498 TVK65498 UFG65498 UPC65498 UYY65498 VIU65498 VSQ65498 WCM65498 WMI65498 WWE65498 JS131034 TO131034 ADK131034 ANG131034 AXC131034 BGY131034 BQU131034 CAQ131034 CKM131034 CUI131034 DEE131034 DOA131034 DXW131034 EHS131034 ERO131034 FBK131034 FLG131034 FVC131034 GEY131034 GOU131034 GYQ131034 HIM131034 HSI131034 ICE131034 IMA131034 IVW131034 JFS131034 JPO131034 JZK131034 KJG131034 KTC131034 LCY131034 LMU131034 LWQ131034 MGM131034 MQI131034 NAE131034 NKA131034 NTW131034 ODS131034 ONO131034 OXK131034 PHG131034 PRC131034 QAY131034 QKU131034 QUQ131034 REM131034 ROI131034 RYE131034 SIA131034 SRW131034 TBS131034 TLO131034 TVK131034 UFG131034 UPC131034 UYY131034 VIU131034 VSQ131034 WCM131034 WMI131034 WWE131034 JS196570 TO196570 ADK196570 ANG196570 AXC196570 BGY196570 BQU196570 CAQ196570 CKM196570 CUI196570 DEE196570 DOA196570 DXW196570 EHS196570 ERO196570 FBK196570 FLG196570 FVC196570 GEY196570 GOU196570 GYQ196570 HIM196570 HSI196570 ICE196570 IMA196570 IVW196570 JFS196570 JPO196570 JZK196570 KJG196570 KTC196570 LCY196570 LMU196570 LWQ196570 MGM196570 MQI196570 NAE196570 NKA196570 NTW196570 ODS196570 ONO196570 OXK196570 PHG196570 PRC196570 QAY196570 QKU196570 QUQ196570 REM196570 ROI196570 RYE196570 SIA196570 SRW196570 TBS196570 TLO196570 TVK196570 UFG196570 UPC196570 UYY196570 VIU196570 VSQ196570 WCM196570 WMI196570 WWE196570 JS262106 TO262106 ADK262106 ANG262106 AXC262106 BGY262106 BQU262106 CAQ262106 CKM262106 CUI262106 DEE262106 DOA262106 DXW262106 EHS262106 ERO262106 FBK262106 FLG262106 FVC262106 GEY262106 GOU262106 GYQ262106 HIM262106 HSI262106 ICE262106 IMA262106 IVW262106 JFS262106 JPO262106 JZK262106 KJG262106 KTC262106 LCY262106 LMU262106 LWQ262106 MGM262106 MQI262106 NAE262106 NKA262106 NTW262106 ODS262106 ONO262106 OXK262106 PHG262106 PRC262106 QAY262106 QKU262106 QUQ262106 REM262106 ROI262106 RYE262106 SIA262106 SRW262106 TBS262106 TLO262106 TVK262106 UFG262106 UPC262106 UYY262106 VIU262106 VSQ262106 WCM262106 WMI262106 WWE262106 JS327642 TO327642 ADK327642 ANG327642 AXC327642 BGY327642 BQU327642 CAQ327642 CKM327642 CUI327642 DEE327642 DOA327642 DXW327642 EHS327642 ERO327642 FBK327642 FLG327642 FVC327642 GEY327642 GOU327642 GYQ327642 HIM327642 HSI327642 ICE327642 IMA327642 IVW327642 JFS327642 JPO327642 JZK327642 KJG327642 KTC327642 LCY327642 LMU327642 LWQ327642 MGM327642 MQI327642 NAE327642 NKA327642 NTW327642 ODS327642 ONO327642 OXK327642 PHG327642 PRC327642 QAY327642 QKU327642 QUQ327642 REM327642 ROI327642 RYE327642 SIA327642 SRW327642 TBS327642 TLO327642 TVK327642 UFG327642 UPC327642 UYY327642 VIU327642 VSQ327642 WCM327642 WMI327642 WWE327642 JS393178 TO393178 ADK393178 ANG393178 AXC393178 BGY393178 BQU393178 CAQ393178 CKM393178 CUI393178 DEE393178 DOA393178 DXW393178 EHS393178 ERO393178 FBK393178 FLG393178 FVC393178 GEY393178 GOU393178 GYQ393178 HIM393178 HSI393178 ICE393178 IMA393178 IVW393178 JFS393178 JPO393178 JZK393178 KJG393178 KTC393178 LCY393178 LMU393178 LWQ393178 MGM393178 MQI393178 NAE393178 NKA393178 NTW393178 ODS393178 ONO393178 OXK393178 PHG393178 PRC393178 QAY393178 QKU393178 QUQ393178 REM393178 ROI393178 RYE393178 SIA393178 SRW393178 TBS393178 TLO393178 TVK393178 UFG393178 UPC393178 UYY393178 VIU393178 VSQ393178 WCM393178 WMI393178 WWE393178 JS458714 TO458714 ADK458714 ANG458714 AXC458714 BGY458714 BQU458714 CAQ458714 CKM458714 CUI458714 DEE458714 DOA458714 DXW458714 EHS458714 ERO458714 FBK458714 FLG458714 FVC458714 GEY458714 GOU458714 GYQ458714 HIM458714 HSI458714 ICE458714 IMA458714 IVW458714 JFS458714 JPO458714 JZK458714 KJG458714 KTC458714 LCY458714 LMU458714 LWQ458714 MGM458714 MQI458714 NAE458714 NKA458714 NTW458714 ODS458714 ONO458714 OXK458714 PHG458714 PRC458714 QAY458714 QKU458714 QUQ458714 REM458714 ROI458714 RYE458714 SIA458714 SRW458714 TBS458714 TLO458714 TVK458714 UFG458714 UPC458714 UYY458714 VIU458714 VSQ458714 WCM458714 WMI458714 WWE458714 JS524250 TO524250 ADK524250 ANG524250 AXC524250 BGY524250 BQU524250 CAQ524250 CKM524250 CUI524250 DEE524250 DOA524250 DXW524250 EHS524250 ERO524250 FBK524250 FLG524250 FVC524250 GEY524250 GOU524250 GYQ524250 HIM524250 HSI524250 ICE524250 IMA524250 IVW524250 JFS524250 JPO524250 JZK524250 KJG524250 KTC524250 LCY524250 LMU524250 LWQ524250 MGM524250 MQI524250 NAE524250 NKA524250 NTW524250 ODS524250 ONO524250 OXK524250 PHG524250 PRC524250 QAY524250 QKU524250 QUQ524250 REM524250 ROI524250 RYE524250 SIA524250 SRW524250 TBS524250 TLO524250 TVK524250 UFG524250 UPC524250 UYY524250 VIU524250 VSQ524250 WCM524250 WMI524250 WWE524250 JS589786 TO589786 ADK589786 ANG589786 AXC589786 BGY589786 BQU589786 CAQ589786 CKM589786 CUI589786 DEE589786 DOA589786 DXW589786 EHS589786 ERO589786 FBK589786 FLG589786 FVC589786 GEY589786 GOU589786 GYQ589786 HIM589786 HSI589786 ICE589786 IMA589786 IVW589786 JFS589786 JPO589786 JZK589786 KJG589786 KTC589786 LCY589786 LMU589786 LWQ589786 MGM589786 MQI589786 NAE589786 NKA589786 NTW589786 ODS589786 ONO589786 OXK589786 PHG589786 PRC589786 QAY589786 QKU589786 QUQ589786 REM589786 ROI589786 RYE589786 SIA589786 SRW589786 TBS589786 TLO589786 TVK589786 UFG589786 UPC589786 UYY589786 VIU589786 VSQ589786 WCM589786 WMI589786 WWE589786 JS655322 TO655322 ADK655322 ANG655322 AXC655322 BGY655322 BQU655322 CAQ655322 CKM655322 CUI655322 DEE655322 DOA655322 DXW655322 EHS655322 ERO655322 FBK655322 FLG655322 FVC655322 GEY655322 GOU655322 GYQ655322 HIM655322 HSI655322 ICE655322 IMA655322 IVW655322 JFS655322 JPO655322 JZK655322 KJG655322 KTC655322 LCY655322 LMU655322 LWQ655322 MGM655322 MQI655322 NAE655322 NKA655322 NTW655322 ODS655322 ONO655322 OXK655322 PHG655322 PRC655322 QAY655322 QKU655322 QUQ655322 REM655322 ROI655322 RYE655322 SIA655322 SRW655322 TBS655322 TLO655322 TVK655322 UFG655322 UPC655322 UYY655322 VIU655322 VSQ655322 WCM655322 WMI655322 WWE655322 JS720858 TO720858 ADK720858 ANG720858 AXC720858 BGY720858 BQU720858 CAQ720858 CKM720858 CUI720858 DEE720858 DOA720858 DXW720858 EHS720858 ERO720858 FBK720858 FLG720858 FVC720858 GEY720858 GOU720858 GYQ720858 HIM720858 HSI720858 ICE720858 IMA720858 IVW720858 JFS720858 JPO720858 JZK720858 KJG720858 KTC720858 LCY720858 LMU720858 LWQ720858 MGM720858 MQI720858 NAE720858 NKA720858 NTW720858 ODS720858 ONO720858 OXK720858 PHG720858 PRC720858 QAY720858 QKU720858 QUQ720858 REM720858 ROI720858 RYE720858 SIA720858 SRW720858 TBS720858 TLO720858 TVK720858 UFG720858 UPC720858 UYY720858 VIU720858 VSQ720858 WCM720858 WMI720858 WWE720858 JS786394 TO786394 ADK786394 ANG786394 AXC786394 BGY786394 BQU786394 CAQ786394 CKM786394 CUI786394 DEE786394 DOA786394 DXW786394 EHS786394 ERO786394 FBK786394 FLG786394 FVC786394 GEY786394 GOU786394 GYQ786394 HIM786394 HSI786394 ICE786394 IMA786394 IVW786394 JFS786394 JPO786394 JZK786394 KJG786394 KTC786394 LCY786394 LMU786394 LWQ786394 MGM786394 MQI786394 NAE786394 NKA786394 NTW786394 ODS786394 ONO786394 OXK786394 PHG786394 PRC786394 QAY786394 QKU786394 QUQ786394 REM786394 ROI786394 RYE786394 SIA786394 SRW786394 TBS786394 TLO786394 TVK786394 UFG786394 UPC786394 UYY786394 VIU786394 VSQ786394 WCM786394 WMI786394 WWE786394 JS851930 TO851930 ADK851930 ANG851930 AXC851930 BGY851930 BQU851930 CAQ851930 CKM851930 CUI851930 DEE851930 DOA851930 DXW851930 EHS851930 ERO851930 FBK851930 FLG851930 FVC851930 GEY851930 GOU851930 GYQ851930 HIM851930 HSI851930 ICE851930 IMA851930 IVW851930 JFS851930 JPO851930 JZK851930 KJG851930 KTC851930 LCY851930 LMU851930 LWQ851930 MGM851930 MQI851930 NAE851930 NKA851930 NTW851930 ODS851930 ONO851930 OXK851930 PHG851930 PRC851930 QAY851930 QKU851930 QUQ851930 REM851930 ROI851930 RYE851930 SIA851930 SRW851930 TBS851930 TLO851930 TVK851930 UFG851930 UPC851930 UYY851930 VIU851930 VSQ851930 WCM851930 WMI851930 WWE851930 JS917466 TO917466 ADK917466 ANG917466 AXC917466 BGY917466 BQU917466 CAQ917466 CKM917466 CUI917466 DEE917466 DOA917466 DXW917466 EHS917466 ERO917466 FBK917466 FLG917466 FVC917466 GEY917466 GOU917466 GYQ917466 HIM917466 HSI917466 ICE917466 IMA917466 IVW917466 JFS917466 JPO917466 JZK917466 KJG917466 KTC917466 LCY917466 LMU917466 LWQ917466 MGM917466 MQI917466 NAE917466 NKA917466 NTW917466 ODS917466 ONO917466 OXK917466 PHG917466 PRC917466 QAY917466 QKU917466 QUQ917466 REM917466 ROI917466 RYE917466 SIA917466 SRW917466 TBS917466 TLO917466 TVK917466 UFG917466 UPC917466 UYY917466 VIU917466 VSQ917466 WCM917466 WMI917466 WWE917466 JS983002 TO983002 ADK983002 ANG983002 AXC983002 BGY983002 BQU983002 CAQ983002 CKM983002 CUI983002 DEE983002 DOA983002 DXW983002 EHS983002 ERO983002 FBK983002 FLG983002 FVC983002 GEY983002 GOU983002 GYQ983002 HIM983002 HSI983002 ICE983002 IMA983002 IVW983002 JFS983002 JPO983002 JZK983002 KJG983002 KTC983002 LCY983002 LMU983002 LWQ983002 MGM983002 MQI983002 NAE983002 NKA983002 NTW983002 ODS983002 ONO983002 OXK983002 PHG983002 PRC983002 QAY983002 QKU983002 QUQ983002 REM983002 ROI983002 RYE983002 SIA983002 SRW983002 TBS983002 TLO983002 TVK983002 UFG983002 UPC983002 UYY983002 VIU983002 VSQ983002 WCM983002 WMI983002 WWE983002"/>
    <dataValidation allowBlank="1" showInputMessage="1" showErrorMessage="1" prompt="53° 20' 52.4436''" sqref="JQ65502 TM65502 ADI65502 ANE65502 AXA65502 BGW65502 BQS65502 CAO65502 CKK65502 CUG65502 DEC65502 DNY65502 DXU65502 EHQ65502 ERM65502 FBI65502 FLE65502 FVA65502 GEW65502 GOS65502 GYO65502 HIK65502 HSG65502 ICC65502 ILY65502 IVU65502 JFQ65502 JPM65502 JZI65502 KJE65502 KTA65502 LCW65502 LMS65502 LWO65502 MGK65502 MQG65502 NAC65502 NJY65502 NTU65502 ODQ65502 ONM65502 OXI65502 PHE65502 PRA65502 QAW65502 QKS65502 QUO65502 REK65502 ROG65502 RYC65502 SHY65502 SRU65502 TBQ65502 TLM65502 TVI65502 UFE65502 UPA65502 UYW65502 VIS65502 VSO65502 WCK65502 WMG65502 WWC65502 JQ131038 TM131038 ADI131038 ANE131038 AXA131038 BGW131038 BQS131038 CAO131038 CKK131038 CUG131038 DEC131038 DNY131038 DXU131038 EHQ131038 ERM131038 FBI131038 FLE131038 FVA131038 GEW131038 GOS131038 GYO131038 HIK131038 HSG131038 ICC131038 ILY131038 IVU131038 JFQ131038 JPM131038 JZI131038 KJE131038 KTA131038 LCW131038 LMS131038 LWO131038 MGK131038 MQG131038 NAC131038 NJY131038 NTU131038 ODQ131038 ONM131038 OXI131038 PHE131038 PRA131038 QAW131038 QKS131038 QUO131038 REK131038 ROG131038 RYC131038 SHY131038 SRU131038 TBQ131038 TLM131038 TVI131038 UFE131038 UPA131038 UYW131038 VIS131038 VSO131038 WCK131038 WMG131038 WWC131038 JQ196574 TM196574 ADI196574 ANE196574 AXA196574 BGW196574 BQS196574 CAO196574 CKK196574 CUG196574 DEC196574 DNY196574 DXU196574 EHQ196574 ERM196574 FBI196574 FLE196574 FVA196574 GEW196574 GOS196574 GYO196574 HIK196574 HSG196574 ICC196574 ILY196574 IVU196574 JFQ196574 JPM196574 JZI196574 KJE196574 KTA196574 LCW196574 LMS196574 LWO196574 MGK196574 MQG196574 NAC196574 NJY196574 NTU196574 ODQ196574 ONM196574 OXI196574 PHE196574 PRA196574 QAW196574 QKS196574 QUO196574 REK196574 ROG196574 RYC196574 SHY196574 SRU196574 TBQ196574 TLM196574 TVI196574 UFE196574 UPA196574 UYW196574 VIS196574 VSO196574 WCK196574 WMG196574 WWC196574 JQ262110 TM262110 ADI262110 ANE262110 AXA262110 BGW262110 BQS262110 CAO262110 CKK262110 CUG262110 DEC262110 DNY262110 DXU262110 EHQ262110 ERM262110 FBI262110 FLE262110 FVA262110 GEW262110 GOS262110 GYO262110 HIK262110 HSG262110 ICC262110 ILY262110 IVU262110 JFQ262110 JPM262110 JZI262110 KJE262110 KTA262110 LCW262110 LMS262110 LWO262110 MGK262110 MQG262110 NAC262110 NJY262110 NTU262110 ODQ262110 ONM262110 OXI262110 PHE262110 PRA262110 QAW262110 QKS262110 QUO262110 REK262110 ROG262110 RYC262110 SHY262110 SRU262110 TBQ262110 TLM262110 TVI262110 UFE262110 UPA262110 UYW262110 VIS262110 VSO262110 WCK262110 WMG262110 WWC262110 JQ327646 TM327646 ADI327646 ANE327646 AXA327646 BGW327646 BQS327646 CAO327646 CKK327646 CUG327646 DEC327646 DNY327646 DXU327646 EHQ327646 ERM327646 FBI327646 FLE327646 FVA327646 GEW327646 GOS327646 GYO327646 HIK327646 HSG327646 ICC327646 ILY327646 IVU327646 JFQ327646 JPM327646 JZI327646 KJE327646 KTA327646 LCW327646 LMS327646 LWO327646 MGK327646 MQG327646 NAC327646 NJY327646 NTU327646 ODQ327646 ONM327646 OXI327646 PHE327646 PRA327646 QAW327646 QKS327646 QUO327646 REK327646 ROG327646 RYC327646 SHY327646 SRU327646 TBQ327646 TLM327646 TVI327646 UFE327646 UPA327646 UYW327646 VIS327646 VSO327646 WCK327646 WMG327646 WWC327646 JQ393182 TM393182 ADI393182 ANE393182 AXA393182 BGW393182 BQS393182 CAO393182 CKK393182 CUG393182 DEC393182 DNY393182 DXU393182 EHQ393182 ERM393182 FBI393182 FLE393182 FVA393182 GEW393182 GOS393182 GYO393182 HIK393182 HSG393182 ICC393182 ILY393182 IVU393182 JFQ393182 JPM393182 JZI393182 KJE393182 KTA393182 LCW393182 LMS393182 LWO393182 MGK393182 MQG393182 NAC393182 NJY393182 NTU393182 ODQ393182 ONM393182 OXI393182 PHE393182 PRA393182 QAW393182 QKS393182 QUO393182 REK393182 ROG393182 RYC393182 SHY393182 SRU393182 TBQ393182 TLM393182 TVI393182 UFE393182 UPA393182 UYW393182 VIS393182 VSO393182 WCK393182 WMG393182 WWC393182 JQ458718 TM458718 ADI458718 ANE458718 AXA458718 BGW458718 BQS458718 CAO458718 CKK458718 CUG458718 DEC458718 DNY458718 DXU458718 EHQ458718 ERM458718 FBI458718 FLE458718 FVA458718 GEW458718 GOS458718 GYO458718 HIK458718 HSG458718 ICC458718 ILY458718 IVU458718 JFQ458718 JPM458718 JZI458718 KJE458718 KTA458718 LCW458718 LMS458718 LWO458718 MGK458718 MQG458718 NAC458718 NJY458718 NTU458718 ODQ458718 ONM458718 OXI458718 PHE458718 PRA458718 QAW458718 QKS458718 QUO458718 REK458718 ROG458718 RYC458718 SHY458718 SRU458718 TBQ458718 TLM458718 TVI458718 UFE458718 UPA458718 UYW458718 VIS458718 VSO458718 WCK458718 WMG458718 WWC458718 JQ524254 TM524254 ADI524254 ANE524254 AXA524254 BGW524254 BQS524254 CAO524254 CKK524254 CUG524254 DEC524254 DNY524254 DXU524254 EHQ524254 ERM524254 FBI524254 FLE524254 FVA524254 GEW524254 GOS524254 GYO524254 HIK524254 HSG524254 ICC524254 ILY524254 IVU524254 JFQ524254 JPM524254 JZI524254 KJE524254 KTA524254 LCW524254 LMS524254 LWO524254 MGK524254 MQG524254 NAC524254 NJY524254 NTU524254 ODQ524254 ONM524254 OXI524254 PHE524254 PRA524254 QAW524254 QKS524254 QUO524254 REK524254 ROG524254 RYC524254 SHY524254 SRU524254 TBQ524254 TLM524254 TVI524254 UFE524254 UPA524254 UYW524254 VIS524254 VSO524254 WCK524254 WMG524254 WWC524254 JQ589790 TM589790 ADI589790 ANE589790 AXA589790 BGW589790 BQS589790 CAO589790 CKK589790 CUG589790 DEC589790 DNY589790 DXU589790 EHQ589790 ERM589790 FBI589790 FLE589790 FVA589790 GEW589790 GOS589790 GYO589790 HIK589790 HSG589790 ICC589790 ILY589790 IVU589790 JFQ589790 JPM589790 JZI589790 KJE589790 KTA589790 LCW589790 LMS589790 LWO589790 MGK589790 MQG589790 NAC589790 NJY589790 NTU589790 ODQ589790 ONM589790 OXI589790 PHE589790 PRA589790 QAW589790 QKS589790 QUO589790 REK589790 ROG589790 RYC589790 SHY589790 SRU589790 TBQ589790 TLM589790 TVI589790 UFE589790 UPA589790 UYW589790 VIS589790 VSO589790 WCK589790 WMG589790 WWC589790 JQ655326 TM655326 ADI655326 ANE655326 AXA655326 BGW655326 BQS655326 CAO655326 CKK655326 CUG655326 DEC655326 DNY655326 DXU655326 EHQ655326 ERM655326 FBI655326 FLE655326 FVA655326 GEW655326 GOS655326 GYO655326 HIK655326 HSG655326 ICC655326 ILY655326 IVU655326 JFQ655326 JPM655326 JZI655326 KJE655326 KTA655326 LCW655326 LMS655326 LWO655326 MGK655326 MQG655326 NAC655326 NJY655326 NTU655326 ODQ655326 ONM655326 OXI655326 PHE655326 PRA655326 QAW655326 QKS655326 QUO655326 REK655326 ROG655326 RYC655326 SHY655326 SRU655326 TBQ655326 TLM655326 TVI655326 UFE655326 UPA655326 UYW655326 VIS655326 VSO655326 WCK655326 WMG655326 WWC655326 JQ720862 TM720862 ADI720862 ANE720862 AXA720862 BGW720862 BQS720862 CAO720862 CKK720862 CUG720862 DEC720862 DNY720862 DXU720862 EHQ720862 ERM720862 FBI720862 FLE720862 FVA720862 GEW720862 GOS720862 GYO720862 HIK720862 HSG720862 ICC720862 ILY720862 IVU720862 JFQ720862 JPM720862 JZI720862 KJE720862 KTA720862 LCW720862 LMS720862 LWO720862 MGK720862 MQG720862 NAC720862 NJY720862 NTU720862 ODQ720862 ONM720862 OXI720862 PHE720862 PRA720862 QAW720862 QKS720862 QUO720862 REK720862 ROG720862 RYC720862 SHY720862 SRU720862 TBQ720862 TLM720862 TVI720862 UFE720862 UPA720862 UYW720862 VIS720862 VSO720862 WCK720862 WMG720862 WWC720862 JQ786398 TM786398 ADI786398 ANE786398 AXA786398 BGW786398 BQS786398 CAO786398 CKK786398 CUG786398 DEC786398 DNY786398 DXU786398 EHQ786398 ERM786398 FBI786398 FLE786398 FVA786398 GEW786398 GOS786398 GYO786398 HIK786398 HSG786398 ICC786398 ILY786398 IVU786398 JFQ786398 JPM786398 JZI786398 KJE786398 KTA786398 LCW786398 LMS786398 LWO786398 MGK786398 MQG786398 NAC786398 NJY786398 NTU786398 ODQ786398 ONM786398 OXI786398 PHE786398 PRA786398 QAW786398 QKS786398 QUO786398 REK786398 ROG786398 RYC786398 SHY786398 SRU786398 TBQ786398 TLM786398 TVI786398 UFE786398 UPA786398 UYW786398 VIS786398 VSO786398 WCK786398 WMG786398 WWC786398 JQ851934 TM851934 ADI851934 ANE851934 AXA851934 BGW851934 BQS851934 CAO851934 CKK851934 CUG851934 DEC851934 DNY851934 DXU851934 EHQ851934 ERM851934 FBI851934 FLE851934 FVA851934 GEW851934 GOS851934 GYO851934 HIK851934 HSG851934 ICC851934 ILY851934 IVU851934 JFQ851934 JPM851934 JZI851934 KJE851934 KTA851934 LCW851934 LMS851934 LWO851934 MGK851934 MQG851934 NAC851934 NJY851934 NTU851934 ODQ851934 ONM851934 OXI851934 PHE851934 PRA851934 QAW851934 QKS851934 QUO851934 REK851934 ROG851934 RYC851934 SHY851934 SRU851934 TBQ851934 TLM851934 TVI851934 UFE851934 UPA851934 UYW851934 VIS851934 VSO851934 WCK851934 WMG851934 WWC851934 JQ917470 TM917470 ADI917470 ANE917470 AXA917470 BGW917470 BQS917470 CAO917470 CKK917470 CUG917470 DEC917470 DNY917470 DXU917470 EHQ917470 ERM917470 FBI917470 FLE917470 FVA917470 GEW917470 GOS917470 GYO917470 HIK917470 HSG917470 ICC917470 ILY917470 IVU917470 JFQ917470 JPM917470 JZI917470 KJE917470 KTA917470 LCW917470 LMS917470 LWO917470 MGK917470 MQG917470 NAC917470 NJY917470 NTU917470 ODQ917470 ONM917470 OXI917470 PHE917470 PRA917470 QAW917470 QKS917470 QUO917470 REK917470 ROG917470 RYC917470 SHY917470 SRU917470 TBQ917470 TLM917470 TVI917470 UFE917470 UPA917470 UYW917470 VIS917470 VSO917470 WCK917470 WMG917470 WWC917470 JQ983006 TM983006 ADI983006 ANE983006 AXA983006 BGW983006 BQS983006 CAO983006 CKK983006 CUG983006 DEC983006 DNY983006 DXU983006 EHQ983006 ERM983006 FBI983006 FLE983006 FVA983006 GEW983006 GOS983006 GYO983006 HIK983006 HSG983006 ICC983006 ILY983006 IVU983006 JFQ983006 JPM983006 JZI983006 KJE983006 KTA983006 LCW983006 LMS983006 LWO983006 MGK983006 MQG983006 NAC983006 NJY983006 NTU983006 ODQ983006 ONM983006 OXI983006 PHE983006 PRA983006 QAW983006 QKS983006 QUO983006 REK983006 ROG983006 RYC983006 SHY983006 SRU983006 TBQ983006 TLM983006 TVI983006 UFE983006 UPA983006 UYW983006 VIS983006 VSO983006 WCK983006 WMG983006 WWC983006"/>
    <dataValidation allowBlank="1" showInputMessage="1" showErrorMessage="1" prompt="6° 17' 40.1424''" sqref="JS65502 TO65502 ADK65502 ANG65502 AXC65502 BGY65502 BQU65502 CAQ65502 CKM65502 CUI65502 DEE65502 DOA65502 DXW65502 EHS65502 ERO65502 FBK65502 FLG65502 FVC65502 GEY65502 GOU65502 GYQ65502 HIM65502 HSI65502 ICE65502 IMA65502 IVW65502 JFS65502 JPO65502 JZK65502 KJG65502 KTC65502 LCY65502 LMU65502 LWQ65502 MGM65502 MQI65502 NAE65502 NKA65502 NTW65502 ODS65502 ONO65502 OXK65502 PHG65502 PRC65502 QAY65502 QKU65502 QUQ65502 REM65502 ROI65502 RYE65502 SIA65502 SRW65502 TBS65502 TLO65502 TVK65502 UFG65502 UPC65502 UYY65502 VIU65502 VSQ65502 WCM65502 WMI65502 WWE65502 JS131038 TO131038 ADK131038 ANG131038 AXC131038 BGY131038 BQU131038 CAQ131038 CKM131038 CUI131038 DEE131038 DOA131038 DXW131038 EHS131038 ERO131038 FBK131038 FLG131038 FVC131038 GEY131038 GOU131038 GYQ131038 HIM131038 HSI131038 ICE131038 IMA131038 IVW131038 JFS131038 JPO131038 JZK131038 KJG131038 KTC131038 LCY131038 LMU131038 LWQ131038 MGM131038 MQI131038 NAE131038 NKA131038 NTW131038 ODS131038 ONO131038 OXK131038 PHG131038 PRC131038 QAY131038 QKU131038 QUQ131038 REM131038 ROI131038 RYE131038 SIA131038 SRW131038 TBS131038 TLO131038 TVK131038 UFG131038 UPC131038 UYY131038 VIU131038 VSQ131038 WCM131038 WMI131038 WWE131038 JS196574 TO196574 ADK196574 ANG196574 AXC196574 BGY196574 BQU196574 CAQ196574 CKM196574 CUI196574 DEE196574 DOA196574 DXW196574 EHS196574 ERO196574 FBK196574 FLG196574 FVC196574 GEY196574 GOU196574 GYQ196574 HIM196574 HSI196574 ICE196574 IMA196574 IVW196574 JFS196574 JPO196574 JZK196574 KJG196574 KTC196574 LCY196574 LMU196574 LWQ196574 MGM196574 MQI196574 NAE196574 NKA196574 NTW196574 ODS196574 ONO196574 OXK196574 PHG196574 PRC196574 QAY196574 QKU196574 QUQ196574 REM196574 ROI196574 RYE196574 SIA196574 SRW196574 TBS196574 TLO196574 TVK196574 UFG196574 UPC196574 UYY196574 VIU196574 VSQ196574 WCM196574 WMI196574 WWE196574 JS262110 TO262110 ADK262110 ANG262110 AXC262110 BGY262110 BQU262110 CAQ262110 CKM262110 CUI262110 DEE262110 DOA262110 DXW262110 EHS262110 ERO262110 FBK262110 FLG262110 FVC262110 GEY262110 GOU262110 GYQ262110 HIM262110 HSI262110 ICE262110 IMA262110 IVW262110 JFS262110 JPO262110 JZK262110 KJG262110 KTC262110 LCY262110 LMU262110 LWQ262110 MGM262110 MQI262110 NAE262110 NKA262110 NTW262110 ODS262110 ONO262110 OXK262110 PHG262110 PRC262110 QAY262110 QKU262110 QUQ262110 REM262110 ROI262110 RYE262110 SIA262110 SRW262110 TBS262110 TLO262110 TVK262110 UFG262110 UPC262110 UYY262110 VIU262110 VSQ262110 WCM262110 WMI262110 WWE262110 JS327646 TO327646 ADK327646 ANG327646 AXC327646 BGY327646 BQU327646 CAQ327646 CKM327646 CUI327646 DEE327646 DOA327646 DXW327646 EHS327646 ERO327646 FBK327646 FLG327646 FVC327646 GEY327646 GOU327646 GYQ327646 HIM327646 HSI327646 ICE327646 IMA327646 IVW327646 JFS327646 JPO327646 JZK327646 KJG327646 KTC327646 LCY327646 LMU327646 LWQ327646 MGM327646 MQI327646 NAE327646 NKA327646 NTW327646 ODS327646 ONO327646 OXK327646 PHG327646 PRC327646 QAY327646 QKU327646 QUQ327646 REM327646 ROI327646 RYE327646 SIA327646 SRW327646 TBS327646 TLO327646 TVK327646 UFG327646 UPC327646 UYY327646 VIU327646 VSQ327646 WCM327646 WMI327646 WWE327646 JS393182 TO393182 ADK393182 ANG393182 AXC393182 BGY393182 BQU393182 CAQ393182 CKM393182 CUI393182 DEE393182 DOA393182 DXW393182 EHS393182 ERO393182 FBK393182 FLG393182 FVC393182 GEY393182 GOU393182 GYQ393182 HIM393182 HSI393182 ICE393182 IMA393182 IVW393182 JFS393182 JPO393182 JZK393182 KJG393182 KTC393182 LCY393182 LMU393182 LWQ393182 MGM393182 MQI393182 NAE393182 NKA393182 NTW393182 ODS393182 ONO393182 OXK393182 PHG393182 PRC393182 QAY393182 QKU393182 QUQ393182 REM393182 ROI393182 RYE393182 SIA393182 SRW393182 TBS393182 TLO393182 TVK393182 UFG393182 UPC393182 UYY393182 VIU393182 VSQ393182 WCM393182 WMI393182 WWE393182 JS458718 TO458718 ADK458718 ANG458718 AXC458718 BGY458718 BQU458718 CAQ458718 CKM458718 CUI458718 DEE458718 DOA458718 DXW458718 EHS458718 ERO458718 FBK458718 FLG458718 FVC458718 GEY458718 GOU458718 GYQ458718 HIM458718 HSI458718 ICE458718 IMA458718 IVW458718 JFS458718 JPO458718 JZK458718 KJG458718 KTC458718 LCY458718 LMU458718 LWQ458718 MGM458718 MQI458718 NAE458718 NKA458718 NTW458718 ODS458718 ONO458718 OXK458718 PHG458718 PRC458718 QAY458718 QKU458718 QUQ458718 REM458718 ROI458718 RYE458718 SIA458718 SRW458718 TBS458718 TLO458718 TVK458718 UFG458718 UPC458718 UYY458718 VIU458718 VSQ458718 WCM458718 WMI458718 WWE458718 JS524254 TO524254 ADK524254 ANG524254 AXC524254 BGY524254 BQU524254 CAQ524254 CKM524254 CUI524254 DEE524254 DOA524254 DXW524254 EHS524254 ERO524254 FBK524254 FLG524254 FVC524254 GEY524254 GOU524254 GYQ524254 HIM524254 HSI524254 ICE524254 IMA524254 IVW524254 JFS524254 JPO524254 JZK524254 KJG524254 KTC524254 LCY524254 LMU524254 LWQ524254 MGM524254 MQI524254 NAE524254 NKA524254 NTW524254 ODS524254 ONO524254 OXK524254 PHG524254 PRC524254 QAY524254 QKU524254 QUQ524254 REM524254 ROI524254 RYE524254 SIA524254 SRW524254 TBS524254 TLO524254 TVK524254 UFG524254 UPC524254 UYY524254 VIU524254 VSQ524254 WCM524254 WMI524254 WWE524254 JS589790 TO589790 ADK589790 ANG589790 AXC589790 BGY589790 BQU589790 CAQ589790 CKM589790 CUI589790 DEE589790 DOA589790 DXW589790 EHS589790 ERO589790 FBK589790 FLG589790 FVC589790 GEY589790 GOU589790 GYQ589790 HIM589790 HSI589790 ICE589790 IMA589790 IVW589790 JFS589790 JPO589790 JZK589790 KJG589790 KTC589790 LCY589790 LMU589790 LWQ589790 MGM589790 MQI589790 NAE589790 NKA589790 NTW589790 ODS589790 ONO589790 OXK589790 PHG589790 PRC589790 QAY589790 QKU589790 QUQ589790 REM589790 ROI589790 RYE589790 SIA589790 SRW589790 TBS589790 TLO589790 TVK589790 UFG589790 UPC589790 UYY589790 VIU589790 VSQ589790 WCM589790 WMI589790 WWE589790 JS655326 TO655326 ADK655326 ANG655326 AXC655326 BGY655326 BQU655326 CAQ655326 CKM655326 CUI655326 DEE655326 DOA655326 DXW655326 EHS655326 ERO655326 FBK655326 FLG655326 FVC655326 GEY655326 GOU655326 GYQ655326 HIM655326 HSI655326 ICE655326 IMA655326 IVW655326 JFS655326 JPO655326 JZK655326 KJG655326 KTC655326 LCY655326 LMU655326 LWQ655326 MGM655326 MQI655326 NAE655326 NKA655326 NTW655326 ODS655326 ONO655326 OXK655326 PHG655326 PRC655326 QAY655326 QKU655326 QUQ655326 REM655326 ROI655326 RYE655326 SIA655326 SRW655326 TBS655326 TLO655326 TVK655326 UFG655326 UPC655326 UYY655326 VIU655326 VSQ655326 WCM655326 WMI655326 WWE655326 JS720862 TO720862 ADK720862 ANG720862 AXC720862 BGY720862 BQU720862 CAQ720862 CKM720862 CUI720862 DEE720862 DOA720862 DXW720862 EHS720862 ERO720862 FBK720862 FLG720862 FVC720862 GEY720862 GOU720862 GYQ720862 HIM720862 HSI720862 ICE720862 IMA720862 IVW720862 JFS720862 JPO720862 JZK720862 KJG720862 KTC720862 LCY720862 LMU720862 LWQ720862 MGM720862 MQI720862 NAE720862 NKA720862 NTW720862 ODS720862 ONO720862 OXK720862 PHG720862 PRC720862 QAY720862 QKU720862 QUQ720862 REM720862 ROI720862 RYE720862 SIA720862 SRW720862 TBS720862 TLO720862 TVK720862 UFG720862 UPC720862 UYY720862 VIU720862 VSQ720862 WCM720862 WMI720862 WWE720862 JS786398 TO786398 ADK786398 ANG786398 AXC786398 BGY786398 BQU786398 CAQ786398 CKM786398 CUI786398 DEE786398 DOA786398 DXW786398 EHS786398 ERO786398 FBK786398 FLG786398 FVC786398 GEY786398 GOU786398 GYQ786398 HIM786398 HSI786398 ICE786398 IMA786398 IVW786398 JFS786398 JPO786398 JZK786398 KJG786398 KTC786398 LCY786398 LMU786398 LWQ786398 MGM786398 MQI786398 NAE786398 NKA786398 NTW786398 ODS786398 ONO786398 OXK786398 PHG786398 PRC786398 QAY786398 QKU786398 QUQ786398 REM786398 ROI786398 RYE786398 SIA786398 SRW786398 TBS786398 TLO786398 TVK786398 UFG786398 UPC786398 UYY786398 VIU786398 VSQ786398 WCM786398 WMI786398 WWE786398 JS851934 TO851934 ADK851934 ANG851934 AXC851934 BGY851934 BQU851934 CAQ851934 CKM851934 CUI851934 DEE851934 DOA851934 DXW851934 EHS851934 ERO851934 FBK851934 FLG851934 FVC851934 GEY851934 GOU851934 GYQ851934 HIM851934 HSI851934 ICE851934 IMA851934 IVW851934 JFS851934 JPO851934 JZK851934 KJG851934 KTC851934 LCY851934 LMU851934 LWQ851934 MGM851934 MQI851934 NAE851934 NKA851934 NTW851934 ODS851934 ONO851934 OXK851934 PHG851934 PRC851934 QAY851934 QKU851934 QUQ851934 REM851934 ROI851934 RYE851934 SIA851934 SRW851934 TBS851934 TLO851934 TVK851934 UFG851934 UPC851934 UYY851934 VIU851934 VSQ851934 WCM851934 WMI851934 WWE851934 JS917470 TO917470 ADK917470 ANG917470 AXC917470 BGY917470 BQU917470 CAQ917470 CKM917470 CUI917470 DEE917470 DOA917470 DXW917470 EHS917470 ERO917470 FBK917470 FLG917470 FVC917470 GEY917470 GOU917470 GYQ917470 HIM917470 HSI917470 ICE917470 IMA917470 IVW917470 JFS917470 JPO917470 JZK917470 KJG917470 KTC917470 LCY917470 LMU917470 LWQ917470 MGM917470 MQI917470 NAE917470 NKA917470 NTW917470 ODS917470 ONO917470 OXK917470 PHG917470 PRC917470 QAY917470 QKU917470 QUQ917470 REM917470 ROI917470 RYE917470 SIA917470 SRW917470 TBS917470 TLO917470 TVK917470 UFG917470 UPC917470 UYY917470 VIU917470 VSQ917470 WCM917470 WMI917470 WWE917470 JS983006 TO983006 ADK983006 ANG983006 AXC983006 BGY983006 BQU983006 CAQ983006 CKM983006 CUI983006 DEE983006 DOA983006 DXW983006 EHS983006 ERO983006 FBK983006 FLG983006 FVC983006 GEY983006 GOU983006 GYQ983006 HIM983006 HSI983006 ICE983006 IMA983006 IVW983006 JFS983006 JPO983006 JZK983006 KJG983006 KTC983006 LCY983006 LMU983006 LWQ983006 MGM983006 MQI983006 NAE983006 NKA983006 NTW983006 ODS983006 ONO983006 OXK983006 PHG983006 PRC983006 QAY983006 QKU983006 QUQ983006 REM983006 ROI983006 RYE983006 SIA983006 SRW983006 TBS983006 TLO983006 TVK983006 UFG983006 UPC983006 UYY983006 VIU983006 VSQ983006 WCM983006 WMI983006 WWE983006"/>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
  <sheetViews>
    <sheetView view="pageLayout" zoomScale="80" zoomScaleNormal="100" zoomScalePageLayoutView="80" workbookViewId="0">
      <selection activeCell="B2" sqref="B2"/>
    </sheetView>
  </sheetViews>
  <sheetFormatPr defaultRowHeight="15" customHeight="1" x14ac:dyDescent="0.3"/>
  <cols>
    <col min="1" max="1" width="2.6640625" style="2" customWidth="1"/>
    <col min="2" max="7" width="5.33203125" style="2" customWidth="1"/>
    <col min="8" max="8" width="7.6640625" style="2" customWidth="1"/>
    <col min="9" max="25" width="5.33203125" style="2" customWidth="1"/>
    <col min="26" max="26" width="5.88671875" style="2" customWidth="1"/>
    <col min="27" max="27" width="2.6640625" style="2" customWidth="1"/>
    <col min="28" max="30" width="7.6640625" style="2" customWidth="1"/>
    <col min="31" max="31" width="8.44140625" style="2" bestFit="1" customWidth="1"/>
    <col min="32" max="276" width="7.6640625" style="2" customWidth="1"/>
    <col min="277" max="277" width="14.33203125" style="2" customWidth="1"/>
    <col min="278" max="278" width="4" style="2" customWidth="1"/>
    <col min="279" max="279" width="14.33203125" style="2" customWidth="1"/>
    <col min="280" max="280" width="4" style="2" customWidth="1"/>
    <col min="281" max="532" width="7.6640625" style="2" customWidth="1"/>
    <col min="533" max="533" width="14.33203125" style="2" customWidth="1"/>
    <col min="534" max="534" width="4" style="2" customWidth="1"/>
    <col min="535" max="535" width="14.33203125" style="2" customWidth="1"/>
    <col min="536" max="536" width="4" style="2" customWidth="1"/>
    <col min="537" max="788" width="7.6640625" style="2" customWidth="1"/>
    <col min="789" max="789" width="14.33203125" style="2" customWidth="1"/>
    <col min="790" max="790" width="4" style="2" customWidth="1"/>
    <col min="791" max="791" width="14.33203125" style="2" customWidth="1"/>
    <col min="792" max="792" width="4" style="2" customWidth="1"/>
    <col min="793" max="1044" width="7.6640625" style="2" customWidth="1"/>
    <col min="1045" max="1045" width="14.33203125" style="2" customWidth="1"/>
    <col min="1046" max="1046" width="4" style="2" customWidth="1"/>
    <col min="1047" max="1047" width="14.33203125" style="2" customWidth="1"/>
    <col min="1048" max="1048" width="4" style="2" customWidth="1"/>
    <col min="1049" max="1300" width="7.6640625" style="2" customWidth="1"/>
    <col min="1301" max="1301" width="14.33203125" style="2" customWidth="1"/>
    <col min="1302" max="1302" width="4" style="2" customWidth="1"/>
    <col min="1303" max="1303" width="14.33203125" style="2" customWidth="1"/>
    <col min="1304" max="1304" width="4" style="2" customWidth="1"/>
    <col min="1305" max="1556" width="7.6640625" style="2" customWidth="1"/>
    <col min="1557" max="1557" width="14.33203125" style="2" customWidth="1"/>
    <col min="1558" max="1558" width="4" style="2" customWidth="1"/>
    <col min="1559" max="1559" width="14.33203125" style="2" customWidth="1"/>
    <col min="1560" max="1560" width="4" style="2" customWidth="1"/>
    <col min="1561" max="1812" width="7.6640625" style="2" customWidth="1"/>
    <col min="1813" max="1813" width="14.33203125" style="2" customWidth="1"/>
    <col min="1814" max="1814" width="4" style="2" customWidth="1"/>
    <col min="1815" max="1815" width="14.33203125" style="2" customWidth="1"/>
    <col min="1816" max="1816" width="4" style="2" customWidth="1"/>
    <col min="1817" max="2068" width="7.6640625" style="2" customWidth="1"/>
    <col min="2069" max="2069" width="14.33203125" style="2" customWidth="1"/>
    <col min="2070" max="2070" width="4" style="2" customWidth="1"/>
    <col min="2071" max="2071" width="14.33203125" style="2" customWidth="1"/>
    <col min="2072" max="2072" width="4" style="2" customWidth="1"/>
    <col min="2073" max="2324" width="7.6640625" style="2" customWidth="1"/>
    <col min="2325" max="2325" width="14.33203125" style="2" customWidth="1"/>
    <col min="2326" max="2326" width="4" style="2" customWidth="1"/>
    <col min="2327" max="2327" width="14.33203125" style="2" customWidth="1"/>
    <col min="2328" max="2328" width="4" style="2" customWidth="1"/>
    <col min="2329" max="2580" width="7.6640625" style="2" customWidth="1"/>
    <col min="2581" max="2581" width="14.33203125" style="2" customWidth="1"/>
    <col min="2582" max="2582" width="4" style="2" customWidth="1"/>
    <col min="2583" max="2583" width="14.33203125" style="2" customWidth="1"/>
    <col min="2584" max="2584" width="4" style="2" customWidth="1"/>
    <col min="2585" max="2836" width="7.6640625" style="2" customWidth="1"/>
    <col min="2837" max="2837" width="14.33203125" style="2" customWidth="1"/>
    <col min="2838" max="2838" width="4" style="2" customWidth="1"/>
    <col min="2839" max="2839" width="14.33203125" style="2" customWidth="1"/>
    <col min="2840" max="2840" width="4" style="2" customWidth="1"/>
    <col min="2841" max="3092" width="7.6640625" style="2" customWidth="1"/>
    <col min="3093" max="3093" width="14.33203125" style="2" customWidth="1"/>
    <col min="3094" max="3094" width="4" style="2" customWidth="1"/>
    <col min="3095" max="3095" width="14.33203125" style="2" customWidth="1"/>
    <col min="3096" max="3096" width="4" style="2" customWidth="1"/>
    <col min="3097" max="3348" width="7.6640625" style="2" customWidth="1"/>
    <col min="3349" max="3349" width="14.33203125" style="2" customWidth="1"/>
    <col min="3350" max="3350" width="4" style="2" customWidth="1"/>
    <col min="3351" max="3351" width="14.33203125" style="2" customWidth="1"/>
    <col min="3352" max="3352" width="4" style="2" customWidth="1"/>
    <col min="3353" max="3604" width="7.6640625" style="2" customWidth="1"/>
    <col min="3605" max="3605" width="14.33203125" style="2" customWidth="1"/>
    <col min="3606" max="3606" width="4" style="2" customWidth="1"/>
    <col min="3607" max="3607" width="14.33203125" style="2" customWidth="1"/>
    <col min="3608" max="3608" width="4" style="2" customWidth="1"/>
    <col min="3609" max="3860" width="7.6640625" style="2" customWidth="1"/>
    <col min="3861" max="3861" width="14.33203125" style="2" customWidth="1"/>
    <col min="3862" max="3862" width="4" style="2" customWidth="1"/>
    <col min="3863" max="3863" width="14.33203125" style="2" customWidth="1"/>
    <col min="3864" max="3864" width="4" style="2" customWidth="1"/>
    <col min="3865" max="4116" width="7.6640625" style="2" customWidth="1"/>
    <col min="4117" max="4117" width="14.33203125" style="2" customWidth="1"/>
    <col min="4118" max="4118" width="4" style="2" customWidth="1"/>
    <col min="4119" max="4119" width="14.33203125" style="2" customWidth="1"/>
    <col min="4120" max="4120" width="4" style="2" customWidth="1"/>
    <col min="4121" max="4372" width="7.6640625" style="2" customWidth="1"/>
    <col min="4373" max="4373" width="14.33203125" style="2" customWidth="1"/>
    <col min="4374" max="4374" width="4" style="2" customWidth="1"/>
    <col min="4375" max="4375" width="14.33203125" style="2" customWidth="1"/>
    <col min="4376" max="4376" width="4" style="2" customWidth="1"/>
    <col min="4377" max="4628" width="7.6640625" style="2" customWidth="1"/>
    <col min="4629" max="4629" width="14.33203125" style="2" customWidth="1"/>
    <col min="4630" max="4630" width="4" style="2" customWidth="1"/>
    <col min="4631" max="4631" width="14.33203125" style="2" customWidth="1"/>
    <col min="4632" max="4632" width="4" style="2" customWidth="1"/>
    <col min="4633" max="4884" width="7.6640625" style="2" customWidth="1"/>
    <col min="4885" max="4885" width="14.33203125" style="2" customWidth="1"/>
    <col min="4886" max="4886" width="4" style="2" customWidth="1"/>
    <col min="4887" max="4887" width="14.33203125" style="2" customWidth="1"/>
    <col min="4888" max="4888" width="4" style="2" customWidth="1"/>
    <col min="4889" max="5140" width="7.6640625" style="2" customWidth="1"/>
    <col min="5141" max="5141" width="14.33203125" style="2" customWidth="1"/>
    <col min="5142" max="5142" width="4" style="2" customWidth="1"/>
    <col min="5143" max="5143" width="14.33203125" style="2" customWidth="1"/>
    <col min="5144" max="5144" width="4" style="2" customWidth="1"/>
    <col min="5145" max="5396" width="7.6640625" style="2" customWidth="1"/>
    <col min="5397" max="5397" width="14.33203125" style="2" customWidth="1"/>
    <col min="5398" max="5398" width="4" style="2" customWidth="1"/>
    <col min="5399" max="5399" width="14.33203125" style="2" customWidth="1"/>
    <col min="5400" max="5400" width="4" style="2" customWidth="1"/>
    <col min="5401" max="5652" width="7.6640625" style="2" customWidth="1"/>
    <col min="5653" max="5653" width="14.33203125" style="2" customWidth="1"/>
    <col min="5654" max="5654" width="4" style="2" customWidth="1"/>
    <col min="5655" max="5655" width="14.33203125" style="2" customWidth="1"/>
    <col min="5656" max="5656" width="4" style="2" customWidth="1"/>
    <col min="5657" max="5908" width="7.6640625" style="2" customWidth="1"/>
    <col min="5909" max="5909" width="14.33203125" style="2" customWidth="1"/>
    <col min="5910" max="5910" width="4" style="2" customWidth="1"/>
    <col min="5911" max="5911" width="14.33203125" style="2" customWidth="1"/>
    <col min="5912" max="5912" width="4" style="2" customWidth="1"/>
    <col min="5913" max="6164" width="7.6640625" style="2" customWidth="1"/>
    <col min="6165" max="6165" width="14.33203125" style="2" customWidth="1"/>
    <col min="6166" max="6166" width="4" style="2" customWidth="1"/>
    <col min="6167" max="6167" width="14.33203125" style="2" customWidth="1"/>
    <col min="6168" max="6168" width="4" style="2" customWidth="1"/>
    <col min="6169" max="6420" width="7.6640625" style="2" customWidth="1"/>
    <col min="6421" max="6421" width="14.33203125" style="2" customWidth="1"/>
    <col min="6422" max="6422" width="4" style="2" customWidth="1"/>
    <col min="6423" max="6423" width="14.33203125" style="2" customWidth="1"/>
    <col min="6424" max="6424" width="4" style="2" customWidth="1"/>
    <col min="6425" max="6676" width="7.6640625" style="2" customWidth="1"/>
    <col min="6677" max="6677" width="14.33203125" style="2" customWidth="1"/>
    <col min="6678" max="6678" width="4" style="2" customWidth="1"/>
    <col min="6679" max="6679" width="14.33203125" style="2" customWidth="1"/>
    <col min="6680" max="6680" width="4" style="2" customWidth="1"/>
    <col min="6681" max="6932" width="7.6640625" style="2" customWidth="1"/>
    <col min="6933" max="6933" width="14.33203125" style="2" customWidth="1"/>
    <col min="6934" max="6934" width="4" style="2" customWidth="1"/>
    <col min="6935" max="6935" width="14.33203125" style="2" customWidth="1"/>
    <col min="6936" max="6936" width="4" style="2" customWidth="1"/>
    <col min="6937" max="7188" width="7.6640625" style="2" customWidth="1"/>
    <col min="7189" max="7189" width="14.33203125" style="2" customWidth="1"/>
    <col min="7190" max="7190" width="4" style="2" customWidth="1"/>
    <col min="7191" max="7191" width="14.33203125" style="2" customWidth="1"/>
    <col min="7192" max="7192" width="4" style="2" customWidth="1"/>
    <col min="7193" max="7444" width="7.6640625" style="2" customWidth="1"/>
    <col min="7445" max="7445" width="14.33203125" style="2" customWidth="1"/>
    <col min="7446" max="7446" width="4" style="2" customWidth="1"/>
    <col min="7447" max="7447" width="14.33203125" style="2" customWidth="1"/>
    <col min="7448" max="7448" width="4" style="2" customWidth="1"/>
    <col min="7449" max="7700" width="7.6640625" style="2" customWidth="1"/>
    <col min="7701" max="7701" width="14.33203125" style="2" customWidth="1"/>
    <col min="7702" max="7702" width="4" style="2" customWidth="1"/>
    <col min="7703" max="7703" width="14.33203125" style="2" customWidth="1"/>
    <col min="7704" max="7704" width="4" style="2" customWidth="1"/>
    <col min="7705" max="7956" width="7.6640625" style="2" customWidth="1"/>
    <col min="7957" max="7957" width="14.33203125" style="2" customWidth="1"/>
    <col min="7958" max="7958" width="4" style="2" customWidth="1"/>
    <col min="7959" max="7959" width="14.33203125" style="2" customWidth="1"/>
    <col min="7960" max="7960" width="4" style="2" customWidth="1"/>
    <col min="7961" max="8212" width="7.6640625" style="2" customWidth="1"/>
    <col min="8213" max="8213" width="14.33203125" style="2" customWidth="1"/>
    <col min="8214" max="8214" width="4" style="2" customWidth="1"/>
    <col min="8215" max="8215" width="14.33203125" style="2" customWidth="1"/>
    <col min="8216" max="8216" width="4" style="2" customWidth="1"/>
    <col min="8217" max="8468" width="7.6640625" style="2" customWidth="1"/>
    <col min="8469" max="8469" width="14.33203125" style="2" customWidth="1"/>
    <col min="8470" max="8470" width="4" style="2" customWidth="1"/>
    <col min="8471" max="8471" width="14.33203125" style="2" customWidth="1"/>
    <col min="8472" max="8472" width="4" style="2" customWidth="1"/>
    <col min="8473" max="8724" width="7.6640625" style="2" customWidth="1"/>
    <col min="8725" max="8725" width="14.33203125" style="2" customWidth="1"/>
    <col min="8726" max="8726" width="4" style="2" customWidth="1"/>
    <col min="8727" max="8727" width="14.33203125" style="2" customWidth="1"/>
    <col min="8728" max="8728" width="4" style="2" customWidth="1"/>
    <col min="8729" max="8980" width="7.6640625" style="2" customWidth="1"/>
    <col min="8981" max="8981" width="14.33203125" style="2" customWidth="1"/>
    <col min="8982" max="8982" width="4" style="2" customWidth="1"/>
    <col min="8983" max="8983" width="14.33203125" style="2" customWidth="1"/>
    <col min="8984" max="8984" width="4" style="2" customWidth="1"/>
    <col min="8985" max="9236" width="7.6640625" style="2" customWidth="1"/>
    <col min="9237" max="9237" width="14.33203125" style="2" customWidth="1"/>
    <col min="9238" max="9238" width="4" style="2" customWidth="1"/>
    <col min="9239" max="9239" width="14.33203125" style="2" customWidth="1"/>
    <col min="9240" max="9240" width="4" style="2" customWidth="1"/>
    <col min="9241" max="9492" width="7.6640625" style="2" customWidth="1"/>
    <col min="9493" max="9493" width="14.33203125" style="2" customWidth="1"/>
    <col min="9494" max="9494" width="4" style="2" customWidth="1"/>
    <col min="9495" max="9495" width="14.33203125" style="2" customWidth="1"/>
    <col min="9496" max="9496" width="4" style="2" customWidth="1"/>
    <col min="9497" max="9748" width="7.6640625" style="2" customWidth="1"/>
    <col min="9749" max="9749" width="14.33203125" style="2" customWidth="1"/>
    <col min="9750" max="9750" width="4" style="2" customWidth="1"/>
    <col min="9751" max="9751" width="14.33203125" style="2" customWidth="1"/>
    <col min="9752" max="9752" width="4" style="2" customWidth="1"/>
    <col min="9753" max="10004" width="7.6640625" style="2" customWidth="1"/>
    <col min="10005" max="10005" width="14.33203125" style="2" customWidth="1"/>
    <col min="10006" max="10006" width="4" style="2" customWidth="1"/>
    <col min="10007" max="10007" width="14.33203125" style="2" customWidth="1"/>
    <col min="10008" max="10008" width="4" style="2" customWidth="1"/>
    <col min="10009" max="10260" width="7.6640625" style="2" customWidth="1"/>
    <col min="10261" max="10261" width="14.33203125" style="2" customWidth="1"/>
    <col min="10262" max="10262" width="4" style="2" customWidth="1"/>
    <col min="10263" max="10263" width="14.33203125" style="2" customWidth="1"/>
    <col min="10264" max="10264" width="4" style="2" customWidth="1"/>
    <col min="10265" max="10516" width="7.6640625" style="2" customWidth="1"/>
    <col min="10517" max="10517" width="14.33203125" style="2" customWidth="1"/>
    <col min="10518" max="10518" width="4" style="2" customWidth="1"/>
    <col min="10519" max="10519" width="14.33203125" style="2" customWidth="1"/>
    <col min="10520" max="10520" width="4" style="2" customWidth="1"/>
    <col min="10521" max="10772" width="7.6640625" style="2" customWidth="1"/>
    <col min="10773" max="10773" width="14.33203125" style="2" customWidth="1"/>
    <col min="10774" max="10774" width="4" style="2" customWidth="1"/>
    <col min="10775" max="10775" width="14.33203125" style="2" customWidth="1"/>
    <col min="10776" max="10776" width="4" style="2" customWidth="1"/>
    <col min="10777" max="11028" width="7.6640625" style="2" customWidth="1"/>
    <col min="11029" max="11029" width="14.33203125" style="2" customWidth="1"/>
    <col min="11030" max="11030" width="4" style="2" customWidth="1"/>
    <col min="11031" max="11031" width="14.33203125" style="2" customWidth="1"/>
    <col min="11032" max="11032" width="4" style="2" customWidth="1"/>
    <col min="11033" max="11284" width="7.6640625" style="2" customWidth="1"/>
    <col min="11285" max="11285" width="14.33203125" style="2" customWidth="1"/>
    <col min="11286" max="11286" width="4" style="2" customWidth="1"/>
    <col min="11287" max="11287" width="14.33203125" style="2" customWidth="1"/>
    <col min="11288" max="11288" width="4" style="2" customWidth="1"/>
    <col min="11289" max="11540" width="7.6640625" style="2" customWidth="1"/>
    <col min="11541" max="11541" width="14.33203125" style="2" customWidth="1"/>
    <col min="11542" max="11542" width="4" style="2" customWidth="1"/>
    <col min="11543" max="11543" width="14.33203125" style="2" customWidth="1"/>
    <col min="11544" max="11544" width="4" style="2" customWidth="1"/>
    <col min="11545" max="11796" width="7.6640625" style="2" customWidth="1"/>
    <col min="11797" max="11797" width="14.33203125" style="2" customWidth="1"/>
    <col min="11798" max="11798" width="4" style="2" customWidth="1"/>
    <col min="11799" max="11799" width="14.33203125" style="2" customWidth="1"/>
    <col min="11800" max="11800" width="4" style="2" customWidth="1"/>
    <col min="11801" max="12052" width="7.6640625" style="2" customWidth="1"/>
    <col min="12053" max="12053" width="14.33203125" style="2" customWidth="1"/>
    <col min="12054" max="12054" width="4" style="2" customWidth="1"/>
    <col min="12055" max="12055" width="14.33203125" style="2" customWidth="1"/>
    <col min="12056" max="12056" width="4" style="2" customWidth="1"/>
    <col min="12057" max="12308" width="7.6640625" style="2" customWidth="1"/>
    <col min="12309" max="12309" width="14.33203125" style="2" customWidth="1"/>
    <col min="12310" max="12310" width="4" style="2" customWidth="1"/>
    <col min="12311" max="12311" width="14.33203125" style="2" customWidth="1"/>
    <col min="12312" max="12312" width="4" style="2" customWidth="1"/>
    <col min="12313" max="12564" width="7.6640625" style="2" customWidth="1"/>
    <col min="12565" max="12565" width="14.33203125" style="2" customWidth="1"/>
    <col min="12566" max="12566" width="4" style="2" customWidth="1"/>
    <col min="12567" max="12567" width="14.33203125" style="2" customWidth="1"/>
    <col min="12568" max="12568" width="4" style="2" customWidth="1"/>
    <col min="12569" max="12820" width="7.6640625" style="2" customWidth="1"/>
    <col min="12821" max="12821" width="14.33203125" style="2" customWidth="1"/>
    <col min="12822" max="12822" width="4" style="2" customWidth="1"/>
    <col min="12823" max="12823" width="14.33203125" style="2" customWidth="1"/>
    <col min="12824" max="12824" width="4" style="2" customWidth="1"/>
    <col min="12825" max="13076" width="7.6640625" style="2" customWidth="1"/>
    <col min="13077" max="13077" width="14.33203125" style="2" customWidth="1"/>
    <col min="13078" max="13078" width="4" style="2" customWidth="1"/>
    <col min="13079" max="13079" width="14.33203125" style="2" customWidth="1"/>
    <col min="13080" max="13080" width="4" style="2" customWidth="1"/>
    <col min="13081" max="13332" width="7.6640625" style="2" customWidth="1"/>
    <col min="13333" max="13333" width="14.33203125" style="2" customWidth="1"/>
    <col min="13334" max="13334" width="4" style="2" customWidth="1"/>
    <col min="13335" max="13335" width="14.33203125" style="2" customWidth="1"/>
    <col min="13336" max="13336" width="4" style="2" customWidth="1"/>
    <col min="13337" max="13588" width="7.6640625" style="2" customWidth="1"/>
    <col min="13589" max="13589" width="14.33203125" style="2" customWidth="1"/>
    <col min="13590" max="13590" width="4" style="2" customWidth="1"/>
    <col min="13591" max="13591" width="14.33203125" style="2" customWidth="1"/>
    <col min="13592" max="13592" width="4" style="2" customWidth="1"/>
    <col min="13593" max="13844" width="7.6640625" style="2" customWidth="1"/>
    <col min="13845" max="13845" width="14.33203125" style="2" customWidth="1"/>
    <col min="13846" max="13846" width="4" style="2" customWidth="1"/>
    <col min="13847" max="13847" width="14.33203125" style="2" customWidth="1"/>
    <col min="13848" max="13848" width="4" style="2" customWidth="1"/>
    <col min="13849" max="14100" width="7.6640625" style="2" customWidth="1"/>
    <col min="14101" max="14101" width="14.33203125" style="2" customWidth="1"/>
    <col min="14102" max="14102" width="4" style="2" customWidth="1"/>
    <col min="14103" max="14103" width="14.33203125" style="2" customWidth="1"/>
    <col min="14104" max="14104" width="4" style="2" customWidth="1"/>
    <col min="14105" max="14356" width="7.6640625" style="2" customWidth="1"/>
    <col min="14357" max="14357" width="14.33203125" style="2" customWidth="1"/>
    <col min="14358" max="14358" width="4" style="2" customWidth="1"/>
    <col min="14359" max="14359" width="14.33203125" style="2" customWidth="1"/>
    <col min="14360" max="14360" width="4" style="2" customWidth="1"/>
    <col min="14361" max="14612" width="7.6640625" style="2" customWidth="1"/>
    <col min="14613" max="14613" width="14.33203125" style="2" customWidth="1"/>
    <col min="14614" max="14614" width="4" style="2" customWidth="1"/>
    <col min="14615" max="14615" width="14.33203125" style="2" customWidth="1"/>
    <col min="14616" max="14616" width="4" style="2" customWidth="1"/>
    <col min="14617" max="14868" width="7.6640625" style="2" customWidth="1"/>
    <col min="14869" max="14869" width="14.33203125" style="2" customWidth="1"/>
    <col min="14870" max="14870" width="4" style="2" customWidth="1"/>
    <col min="14871" max="14871" width="14.33203125" style="2" customWidth="1"/>
    <col min="14872" max="14872" width="4" style="2" customWidth="1"/>
    <col min="14873" max="15124" width="7.6640625" style="2" customWidth="1"/>
    <col min="15125" max="15125" width="14.33203125" style="2" customWidth="1"/>
    <col min="15126" max="15126" width="4" style="2" customWidth="1"/>
    <col min="15127" max="15127" width="14.33203125" style="2" customWidth="1"/>
    <col min="15128" max="15128" width="4" style="2" customWidth="1"/>
    <col min="15129" max="15380" width="7.6640625" style="2" customWidth="1"/>
    <col min="15381" max="15381" width="14.33203125" style="2" customWidth="1"/>
    <col min="15382" max="15382" width="4" style="2" customWidth="1"/>
    <col min="15383" max="15383" width="14.33203125" style="2" customWidth="1"/>
    <col min="15384" max="15384" width="4" style="2" customWidth="1"/>
    <col min="15385" max="15636" width="7.6640625" style="2" customWidth="1"/>
    <col min="15637" max="15637" width="14.33203125" style="2" customWidth="1"/>
    <col min="15638" max="15638" width="4" style="2" customWidth="1"/>
    <col min="15639" max="15639" width="14.33203125" style="2" customWidth="1"/>
    <col min="15640" max="15640" width="4" style="2" customWidth="1"/>
    <col min="15641" max="15892" width="7.6640625" style="2" customWidth="1"/>
    <col min="15893" max="15893" width="14.33203125" style="2" customWidth="1"/>
    <col min="15894" max="15894" width="4" style="2" customWidth="1"/>
    <col min="15895" max="15895" width="14.33203125" style="2" customWidth="1"/>
    <col min="15896" max="15896" width="4" style="2" customWidth="1"/>
    <col min="15897" max="16148" width="7.6640625" style="2" customWidth="1"/>
    <col min="16149" max="16149" width="14.33203125" style="2" customWidth="1"/>
    <col min="16150" max="16150" width="4" style="2" customWidth="1"/>
    <col min="16151" max="16151" width="14.33203125" style="2" customWidth="1"/>
    <col min="16152" max="16152" width="4" style="2" customWidth="1"/>
    <col min="16153" max="16384" width="7.6640625" style="2" customWidth="1"/>
  </cols>
  <sheetData>
    <row r="1" spans="1:28" ht="15" customHeight="1" x14ac:dyDescent="0.3">
      <c r="A1" s="85"/>
      <c r="B1" s="86"/>
      <c r="C1" s="86"/>
      <c r="D1" s="86"/>
      <c r="E1" s="86"/>
      <c r="F1" s="1"/>
      <c r="G1" s="1"/>
      <c r="H1" s="1"/>
      <c r="I1" s="1"/>
      <c r="J1" s="1"/>
      <c r="K1" s="1"/>
      <c r="L1" s="1"/>
      <c r="M1" s="1"/>
      <c r="N1" s="1"/>
      <c r="O1" s="1"/>
      <c r="P1" s="1"/>
      <c r="Q1" s="1"/>
      <c r="R1" s="1"/>
      <c r="S1" s="1"/>
      <c r="T1" s="1"/>
      <c r="U1" s="1"/>
      <c r="V1" s="1"/>
      <c r="W1" s="1"/>
      <c r="X1" s="1"/>
      <c r="Y1" s="1"/>
      <c r="Z1" s="1"/>
      <c r="AA1" s="85"/>
    </row>
    <row r="2" spans="1:28" ht="15" customHeight="1" x14ac:dyDescent="0.3">
      <c r="A2" s="3"/>
      <c r="B2" s="589" t="s">
        <v>140</v>
      </c>
      <c r="C2" s="10"/>
      <c r="D2" s="10"/>
      <c r="E2" s="10"/>
      <c r="F2" s="3"/>
      <c r="G2" s="3"/>
      <c r="H2" s="3"/>
      <c r="I2" s="3"/>
      <c r="J2" s="3"/>
      <c r="K2" s="3"/>
      <c r="L2" s="3"/>
      <c r="M2" s="3"/>
      <c r="N2" s="3"/>
      <c r="O2" s="3"/>
      <c r="P2" s="3"/>
      <c r="Q2" s="3"/>
      <c r="R2" s="3"/>
      <c r="S2" s="3"/>
      <c r="T2" s="3"/>
      <c r="U2" s="3"/>
      <c r="V2" s="3"/>
      <c r="W2" s="3"/>
      <c r="X2" s="3"/>
      <c r="Y2" s="3"/>
      <c r="Z2" s="3"/>
      <c r="AA2" s="3"/>
    </row>
    <row r="3" spans="1:28" ht="15" customHeight="1" x14ac:dyDescent="0.3">
      <c r="A3" s="3"/>
      <c r="B3" s="615" t="s">
        <v>447</v>
      </c>
      <c r="C3" s="3"/>
      <c r="D3" s="3"/>
      <c r="E3" s="3"/>
      <c r="F3" s="3"/>
      <c r="G3" s="3"/>
      <c r="H3" s="3"/>
      <c r="I3" s="3"/>
      <c r="J3" s="3"/>
      <c r="K3" s="3"/>
      <c r="L3" s="3"/>
      <c r="M3" s="3"/>
      <c r="N3" s="3"/>
      <c r="O3" s="3"/>
      <c r="P3" s="3"/>
      <c r="Q3" s="3"/>
      <c r="R3" s="3"/>
      <c r="S3" s="3"/>
      <c r="T3" s="3"/>
      <c r="U3" s="3"/>
      <c r="V3" s="3"/>
      <c r="W3" s="3"/>
      <c r="X3" s="3"/>
      <c r="Y3" s="3"/>
      <c r="Z3" s="3"/>
      <c r="AA3" s="3"/>
    </row>
    <row r="4" spans="1:28" ht="15" customHeight="1" x14ac:dyDescent="0.3">
      <c r="A4" s="3"/>
      <c r="B4" s="594" t="str">
        <f>Overview!$B$7</f>
        <v>Grove Park Drive</v>
      </c>
      <c r="C4" s="3"/>
      <c r="D4" s="3"/>
      <c r="E4" s="3"/>
      <c r="F4" s="3"/>
      <c r="G4" s="3"/>
      <c r="H4" s="3"/>
      <c r="I4" s="3"/>
      <c r="J4" s="3"/>
      <c r="K4" s="3"/>
      <c r="L4" s="3"/>
      <c r="M4" s="3"/>
      <c r="N4" s="3"/>
      <c r="O4" s="3"/>
      <c r="P4" s="3"/>
      <c r="Q4" s="3"/>
      <c r="R4" s="3"/>
      <c r="S4" s="3"/>
      <c r="T4" s="3"/>
      <c r="U4" s="3"/>
      <c r="V4" s="3"/>
      <c r="W4" s="3"/>
      <c r="X4" s="3"/>
      <c r="Y4" s="3"/>
      <c r="Z4" s="3"/>
      <c r="AA4" s="3"/>
    </row>
    <row r="5" spans="1:28" ht="15" customHeight="1" x14ac:dyDescent="0.3">
      <c r="A5" s="3"/>
      <c r="B5" s="12"/>
      <c r="C5" s="3"/>
      <c r="D5" s="3"/>
      <c r="E5" s="3"/>
      <c r="F5" s="3"/>
      <c r="G5" s="3"/>
      <c r="H5" s="3"/>
      <c r="I5" s="3"/>
      <c r="J5" s="3"/>
      <c r="K5" s="3"/>
      <c r="L5" s="3"/>
      <c r="M5" s="3"/>
      <c r="N5" s="3"/>
      <c r="O5" s="3"/>
      <c r="P5" s="3"/>
      <c r="Q5" s="3"/>
      <c r="R5" s="3"/>
      <c r="S5" s="3"/>
      <c r="T5" s="3"/>
      <c r="U5" s="3"/>
      <c r="V5" s="3"/>
      <c r="W5" s="3"/>
      <c r="X5" s="3"/>
      <c r="Y5" s="3"/>
      <c r="Z5" s="3"/>
      <c r="AA5" s="3"/>
    </row>
    <row r="6" spans="1:28" ht="15" customHeight="1" thickBot="1" x14ac:dyDescent="0.35">
      <c r="A6" s="3"/>
      <c r="C6" s="26" t="s">
        <v>42</v>
      </c>
      <c r="D6" s="3"/>
      <c r="E6" s="3"/>
      <c r="F6" s="3"/>
      <c r="G6" s="3"/>
      <c r="H6" s="3"/>
      <c r="I6" s="3"/>
      <c r="J6" s="3"/>
      <c r="K6" s="3"/>
      <c r="L6" s="3"/>
      <c r="M6" s="3"/>
      <c r="N6" s="3"/>
      <c r="O6" s="3"/>
      <c r="P6" s="3"/>
      <c r="Q6" s="3"/>
      <c r="R6" s="3"/>
      <c r="S6" s="3"/>
      <c r="T6" s="3"/>
      <c r="U6" s="3"/>
      <c r="V6" s="3"/>
      <c r="W6" s="3"/>
      <c r="X6" s="3"/>
      <c r="Y6" s="3"/>
      <c r="Z6" s="3"/>
      <c r="AA6" s="3"/>
    </row>
    <row r="7" spans="1:28" ht="15" customHeight="1" x14ac:dyDescent="0.3">
      <c r="A7" s="3"/>
      <c r="B7" s="14"/>
      <c r="C7" s="1241" t="s">
        <v>37</v>
      </c>
      <c r="D7" s="1242"/>
      <c r="E7" s="1242"/>
      <c r="F7" s="1242"/>
      <c r="G7" s="1242"/>
      <c r="H7" s="1242"/>
      <c r="I7" s="1242"/>
      <c r="J7" s="1242"/>
      <c r="K7" s="1242"/>
      <c r="L7" s="1243"/>
      <c r="M7" s="1235" t="s">
        <v>83</v>
      </c>
      <c r="N7" s="1235"/>
      <c r="O7" s="1331"/>
      <c r="P7" s="1330"/>
      <c r="Q7" s="1330"/>
      <c r="R7" s="1330"/>
      <c r="S7" s="1330"/>
      <c r="T7" s="1330"/>
      <c r="U7" s="1330"/>
      <c r="V7" s="1330"/>
      <c r="W7" s="1330"/>
      <c r="X7" s="1330"/>
      <c r="Y7" s="1330"/>
      <c r="Z7" s="1330"/>
      <c r="AA7" s="3"/>
    </row>
    <row r="8" spans="1:28" ht="15" customHeight="1" thickBot="1" x14ac:dyDescent="0.35">
      <c r="A8" s="3"/>
      <c r="B8" s="3"/>
      <c r="C8" s="1244"/>
      <c r="D8" s="1245"/>
      <c r="E8" s="1245"/>
      <c r="F8" s="1245"/>
      <c r="G8" s="1245"/>
      <c r="H8" s="1245"/>
      <c r="I8" s="1245"/>
      <c r="J8" s="1245"/>
      <c r="K8" s="1245"/>
      <c r="L8" s="1246"/>
      <c r="M8" s="1237"/>
      <c r="N8" s="1237"/>
      <c r="O8" s="1332"/>
      <c r="P8" s="1330"/>
      <c r="Q8" s="1330"/>
      <c r="R8" s="1330"/>
      <c r="S8" s="1330"/>
      <c r="T8" s="1330"/>
      <c r="U8" s="1330"/>
      <c r="V8" s="1330"/>
      <c r="W8" s="1330"/>
      <c r="X8" s="1330"/>
      <c r="Y8" s="1330"/>
      <c r="Z8" s="1330"/>
      <c r="AA8" s="3"/>
    </row>
    <row r="9" spans="1:28" ht="15" customHeight="1" x14ac:dyDescent="0.3">
      <c r="A9" s="3"/>
      <c r="B9" s="3"/>
      <c r="C9" s="1247" t="s">
        <v>77</v>
      </c>
      <c r="D9" s="1248"/>
      <c r="E9" s="1248"/>
      <c r="F9" s="1248"/>
      <c r="G9" s="1248"/>
      <c r="H9" s="1248"/>
      <c r="I9" s="1248"/>
      <c r="J9" s="1248"/>
      <c r="K9" s="1248"/>
      <c r="L9" s="1249"/>
      <c r="M9" s="1255">
        <f>VLOOKUP('Sensitivity 1'!$H$20,C20:J31,6,FALSE)</f>
        <v>50359.762607142853</v>
      </c>
      <c r="N9" s="1256"/>
      <c r="O9" s="1333"/>
      <c r="P9" s="1251"/>
      <c r="Q9" s="1251"/>
      <c r="R9" s="1251"/>
      <c r="S9" s="1251"/>
      <c r="T9" s="1265"/>
      <c r="U9" s="1265"/>
      <c r="V9" s="1265"/>
      <c r="W9" s="1265"/>
      <c r="X9" s="683"/>
      <c r="Y9" s="683"/>
      <c r="Z9" s="79"/>
      <c r="AA9" s="3"/>
    </row>
    <row r="10" spans="1:28" ht="15" customHeight="1" x14ac:dyDescent="0.3">
      <c r="A10" s="3"/>
      <c r="B10" s="3"/>
      <c r="C10" s="1252" t="s">
        <v>375</v>
      </c>
      <c r="D10" s="1253"/>
      <c r="E10" s="1253"/>
      <c r="F10" s="1253"/>
      <c r="G10" s="1253"/>
      <c r="H10" s="1253"/>
      <c r="I10" s="1253"/>
      <c r="J10" s="1253"/>
      <c r="K10" s="1253"/>
      <c r="L10" s="1254"/>
      <c r="M10" s="1328">
        <f>'Sensitivity 1'!H32</f>
        <v>6</v>
      </c>
      <c r="N10" s="1009"/>
      <c r="O10" s="1329"/>
      <c r="P10" s="1319"/>
      <c r="Q10" s="1319"/>
      <c r="R10" s="1319"/>
      <c r="S10" s="1319"/>
      <c r="T10" s="1319"/>
      <c r="U10" s="1319"/>
      <c r="V10" s="1319"/>
      <c r="W10" s="1319"/>
      <c r="X10" s="1319"/>
      <c r="Y10" s="1319"/>
      <c r="Z10" s="1319"/>
      <c r="AA10" s="3"/>
    </row>
    <row r="11" spans="1:28" ht="15" customHeight="1" x14ac:dyDescent="0.3">
      <c r="A11" s="3"/>
      <c r="B11" s="3"/>
      <c r="C11" s="1252" t="s">
        <v>78</v>
      </c>
      <c r="D11" s="1253"/>
      <c r="E11" s="1253"/>
      <c r="F11" s="1253"/>
      <c r="G11" s="1253"/>
      <c r="H11" s="1253"/>
      <c r="I11" s="1253"/>
      <c r="J11" s="1253"/>
      <c r="K11" s="1253"/>
      <c r="L11" s="1254"/>
      <c r="M11" s="1259">
        <f>'Scheme Entry - Baseline'!I7</f>
        <v>21.350369370165694</v>
      </c>
      <c r="N11" s="955"/>
      <c r="O11" s="1183"/>
      <c r="P11" s="955"/>
      <c r="Q11" s="955"/>
      <c r="R11" s="955"/>
      <c r="S11" s="955"/>
      <c r="T11" s="955"/>
      <c r="U11" s="955"/>
      <c r="V11" s="955"/>
      <c r="W11" s="955"/>
      <c r="X11" s="678"/>
      <c r="Y11" s="678"/>
      <c r="Z11" s="79"/>
      <c r="AA11" s="3"/>
    </row>
    <row r="12" spans="1:28" ht="15" customHeight="1" x14ac:dyDescent="0.3">
      <c r="A12" s="3"/>
      <c r="B12" s="3"/>
      <c r="C12" s="1252" t="s">
        <v>79</v>
      </c>
      <c r="D12" s="1253"/>
      <c r="E12" s="1253"/>
      <c r="F12" s="1253"/>
      <c r="G12" s="1253"/>
      <c r="H12" s="1253"/>
      <c r="I12" s="1253"/>
      <c r="J12" s="1253"/>
      <c r="K12" s="1253"/>
      <c r="L12" s="1254"/>
      <c r="M12" s="1325">
        <f>'Scheme Entry - Baseline'!L5*100</f>
        <v>5</v>
      </c>
      <c r="N12" s="1326"/>
      <c r="O12" s="1327"/>
      <c r="P12" s="1319"/>
      <c r="Q12" s="1319"/>
      <c r="R12" s="1319"/>
      <c r="S12" s="1319"/>
      <c r="T12" s="1319"/>
      <c r="U12" s="1319"/>
      <c r="V12" s="1319"/>
      <c r="W12" s="1319"/>
      <c r="X12" s="1319"/>
      <c r="Y12" s="1319"/>
      <c r="Z12" s="1319"/>
      <c r="AA12" s="3"/>
    </row>
    <row r="13" spans="1:28" ht="15" customHeight="1" x14ac:dyDescent="0.3">
      <c r="A13" s="3"/>
      <c r="B13" s="3"/>
      <c r="C13" s="1252" t="s">
        <v>80</v>
      </c>
      <c r="D13" s="1253"/>
      <c r="E13" s="1253"/>
      <c r="F13" s="1253"/>
      <c r="G13" s="1253"/>
      <c r="H13" s="1253"/>
      <c r="I13" s="1253"/>
      <c r="J13" s="1253"/>
      <c r="K13" s="1253"/>
      <c r="L13" s="1254"/>
      <c r="M13" s="1262">
        <f>(1+(M10/100))/(1+(M12/100))</f>
        <v>1.0095238095238095</v>
      </c>
      <c r="N13" s="1263"/>
      <c r="O13" s="1321"/>
      <c r="P13" s="1263"/>
      <c r="Q13" s="1263"/>
      <c r="R13" s="1263"/>
      <c r="S13" s="1263"/>
      <c r="T13" s="1263"/>
      <c r="U13" s="1263"/>
      <c r="V13" s="1263"/>
      <c r="W13" s="1263"/>
      <c r="X13" s="682"/>
      <c r="Y13" s="682"/>
      <c r="Z13" s="79"/>
      <c r="AA13" s="3"/>
    </row>
    <row r="14" spans="1:28" ht="15" customHeight="1" thickBot="1" x14ac:dyDescent="0.35">
      <c r="A14" s="3"/>
      <c r="B14" s="3"/>
      <c r="C14" s="1252" t="s">
        <v>81</v>
      </c>
      <c r="D14" s="1253"/>
      <c r="E14" s="1253"/>
      <c r="F14" s="1253"/>
      <c r="G14" s="1253"/>
      <c r="H14" s="1253"/>
      <c r="I14" s="1253"/>
      <c r="J14" s="1253"/>
      <c r="K14" s="1253"/>
      <c r="L14" s="1254"/>
      <c r="M14" s="1322">
        <f>(1-POWER(M13,'Scheme Entry - Baseline'!I5+1))/(1-M13)</f>
        <v>35.864919400407764</v>
      </c>
      <c r="N14" s="1323"/>
      <c r="O14" s="1324"/>
      <c r="P14" s="1266"/>
      <c r="Q14" s="1266"/>
      <c r="R14" s="1266"/>
      <c r="S14" s="1266"/>
      <c r="T14" s="1266"/>
      <c r="U14" s="1266"/>
      <c r="V14" s="1266"/>
      <c r="W14" s="1266"/>
      <c r="X14" s="684"/>
      <c r="Y14" s="684"/>
      <c r="Z14" s="79"/>
      <c r="AA14" s="3"/>
    </row>
    <row r="15" spans="1:28" ht="16.2" thickBot="1" x14ac:dyDescent="0.35">
      <c r="A15" s="3"/>
      <c r="B15" s="3"/>
      <c r="C15" s="1267" t="s">
        <v>82</v>
      </c>
      <c r="D15" s="1268"/>
      <c r="E15" s="1268"/>
      <c r="F15" s="1268"/>
      <c r="G15" s="1268"/>
      <c r="H15" s="1268"/>
      <c r="I15" s="1268"/>
      <c r="J15" s="1268"/>
      <c r="K15" s="1268"/>
      <c r="L15" s="1269"/>
      <c r="M15" s="1270">
        <f>IF(M10&lt;=M12,M9,(M9*(M14/M11)))</f>
        <v>84595.671185562736</v>
      </c>
      <c r="N15" s="1271"/>
      <c r="O15" s="1272"/>
      <c r="P15" s="1319"/>
      <c r="Q15" s="1319"/>
      <c r="R15" s="1319"/>
      <c r="S15" s="1319"/>
      <c r="T15" s="1319"/>
      <c r="U15" s="1319"/>
      <c r="V15" s="1319"/>
      <c r="W15" s="1319"/>
      <c r="X15" s="1319"/>
      <c r="Y15" s="1319"/>
      <c r="Z15" s="1319"/>
      <c r="AA15" s="3"/>
    </row>
    <row r="16" spans="1:28" ht="15" customHeight="1" x14ac:dyDescent="0.3">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16"/>
    </row>
    <row r="17" spans="1:28" ht="15" customHeight="1" thickBot="1" x14ac:dyDescent="0.35">
      <c r="A17" s="79"/>
      <c r="C17" s="26" t="s">
        <v>141</v>
      </c>
      <c r="D17" s="79"/>
      <c r="E17" s="79"/>
      <c r="F17" s="79"/>
      <c r="G17" s="79"/>
      <c r="H17" s="79"/>
      <c r="I17" s="79"/>
      <c r="J17" s="79"/>
      <c r="K17" s="79"/>
      <c r="L17" s="79"/>
      <c r="M17" s="769"/>
      <c r="N17" s="79"/>
      <c r="O17" s="79"/>
      <c r="P17" s="79"/>
      <c r="Q17" s="79"/>
      <c r="R17" s="79"/>
      <c r="S17" s="79"/>
      <c r="T17" s="79"/>
      <c r="U17" s="79"/>
      <c r="V17" s="79"/>
      <c r="W17" s="79"/>
      <c r="X17" s="79"/>
      <c r="Y17" s="79"/>
      <c r="Z17" s="3"/>
      <c r="AA17" s="79"/>
      <c r="AB17" s="16"/>
    </row>
    <row r="18" spans="1:28" ht="15" customHeight="1" x14ac:dyDescent="0.3">
      <c r="A18" s="79"/>
      <c r="B18" s="31"/>
      <c r="C18" s="1223" t="s">
        <v>130</v>
      </c>
      <c r="D18" s="1225"/>
      <c r="E18" s="1188" t="s">
        <v>92</v>
      </c>
      <c r="F18" s="1060"/>
      <c r="G18" s="1189"/>
      <c r="H18" s="1223" t="s">
        <v>131</v>
      </c>
      <c r="I18" s="1224"/>
      <c r="J18" s="1225"/>
      <c r="K18" s="75"/>
      <c r="L18" s="75"/>
      <c r="M18" s="1320"/>
      <c r="N18" s="1320"/>
      <c r="O18" s="1320"/>
      <c r="P18" s="75"/>
      <c r="Q18" s="75"/>
      <c r="R18" s="75"/>
      <c r="S18" s="75"/>
      <c r="T18" s="75"/>
      <c r="U18" s="75"/>
      <c r="V18" s="75"/>
      <c r="W18" s="75"/>
      <c r="X18" s="75"/>
      <c r="Y18" s="75"/>
      <c r="Z18" s="3"/>
      <c r="AA18" s="79"/>
      <c r="AB18" s="16"/>
    </row>
    <row r="19" spans="1:28" ht="15" customHeight="1" thickBot="1" x14ac:dyDescent="0.35">
      <c r="A19" s="79"/>
      <c r="B19" s="31"/>
      <c r="C19" s="1226"/>
      <c r="D19" s="1228"/>
      <c r="E19" s="1192"/>
      <c r="F19" s="1061"/>
      <c r="G19" s="1193"/>
      <c r="H19" s="1226"/>
      <c r="I19" s="1227"/>
      <c r="J19" s="1228"/>
      <c r="K19" s="75"/>
      <c r="L19" s="75"/>
      <c r="M19" s="1318"/>
      <c r="N19" s="1318"/>
      <c r="O19" s="1318"/>
      <c r="P19" s="75"/>
      <c r="Q19" s="75"/>
      <c r="R19" s="75"/>
      <c r="S19" s="75"/>
      <c r="T19" s="75"/>
      <c r="U19" s="75"/>
      <c r="V19" s="75"/>
      <c r="W19" s="75"/>
      <c r="X19" s="75"/>
      <c r="Y19" s="75"/>
      <c r="Z19" s="3"/>
      <c r="AA19" s="79"/>
      <c r="AB19" s="16"/>
    </row>
    <row r="20" spans="1:28" ht="15" customHeight="1" x14ac:dyDescent="0.3">
      <c r="A20" s="79"/>
      <c r="B20" s="79"/>
      <c r="C20" s="121" t="s">
        <v>113</v>
      </c>
      <c r="D20" s="122"/>
      <c r="E20" s="1284">
        <f>'Burn Pro Sen 1'!P13</f>
        <v>1126767.8571428573</v>
      </c>
      <c r="F20" s="1285"/>
      <c r="G20" s="1286"/>
      <c r="H20" s="1232">
        <f>'Burn Pro Sen 1'!V13</f>
        <v>101409.10714285714</v>
      </c>
      <c r="I20" s="1233"/>
      <c r="J20" s="1234"/>
      <c r="K20" s="75"/>
      <c r="L20" s="75"/>
      <c r="M20" s="1240"/>
      <c r="N20" s="1240"/>
      <c r="O20" s="1240"/>
      <c r="P20" s="75"/>
      <c r="Q20" s="75"/>
      <c r="R20" s="75"/>
      <c r="S20" s="75"/>
      <c r="T20" s="75"/>
      <c r="U20" s="75"/>
      <c r="V20" s="75"/>
      <c r="W20" s="75"/>
      <c r="X20" s="75"/>
      <c r="Y20" s="75"/>
      <c r="Z20" s="3"/>
      <c r="AA20" s="79"/>
      <c r="AB20" s="16"/>
    </row>
    <row r="21" spans="1:28" ht="15" customHeight="1" x14ac:dyDescent="0.3">
      <c r="A21" s="79"/>
      <c r="B21" s="79"/>
      <c r="C21" s="123" t="s">
        <v>114</v>
      </c>
      <c r="D21" s="124"/>
      <c r="E21" s="1303">
        <f>'Burn Pro Sen 1'!P22</f>
        <v>997189.55357142864</v>
      </c>
      <c r="F21" s="1304"/>
      <c r="G21" s="1305"/>
      <c r="H21" s="1315">
        <f>'Burn Pro Sen 1'!V22</f>
        <v>89747.059821428571</v>
      </c>
      <c r="I21" s="1316"/>
      <c r="J21" s="1317"/>
      <c r="K21" s="41"/>
      <c r="L21" s="41"/>
      <c r="M21" s="54"/>
      <c r="N21" s="54"/>
      <c r="O21" s="54"/>
      <c r="P21" s="54"/>
      <c r="Q21" s="54"/>
      <c r="R21" s="54"/>
      <c r="S21" s="54"/>
      <c r="T21" s="54"/>
      <c r="U21" s="54"/>
      <c r="V21" s="54"/>
      <c r="W21" s="54"/>
      <c r="X21" s="54"/>
      <c r="Y21" s="54"/>
      <c r="Z21" s="3"/>
      <c r="AA21" s="79"/>
      <c r="AB21" s="16"/>
    </row>
    <row r="22" spans="1:28" ht="15" customHeight="1" x14ac:dyDescent="0.3">
      <c r="A22" s="79"/>
      <c r="B22" s="79"/>
      <c r="C22" s="125" t="s">
        <v>117</v>
      </c>
      <c r="D22" s="126"/>
      <c r="E22" s="1306">
        <f>'Burn Pro Sen 1'!P30</f>
        <v>955724.49642857141</v>
      </c>
      <c r="F22" s="1307"/>
      <c r="G22" s="1308"/>
      <c r="H22" s="1297">
        <f>'Burn Pro Sen 1'!V30</f>
        <v>86015.204678571419</v>
      </c>
      <c r="I22" s="1298"/>
      <c r="J22" s="1299"/>
      <c r="K22" s="41"/>
      <c r="L22" s="41"/>
      <c r="M22" s="54"/>
      <c r="N22" s="54"/>
      <c r="O22" s="54"/>
      <c r="P22" s="54"/>
      <c r="Q22" s="54"/>
      <c r="R22" s="54"/>
      <c r="S22" s="54"/>
      <c r="T22" s="54"/>
      <c r="U22" s="54"/>
      <c r="V22" s="54"/>
      <c r="W22" s="54"/>
      <c r="X22" s="54"/>
      <c r="Y22" s="54"/>
      <c r="Z22" s="3"/>
      <c r="AA22" s="79"/>
    </row>
    <row r="23" spans="1:28" ht="15" customHeight="1" x14ac:dyDescent="0.3">
      <c r="A23" s="3"/>
      <c r="B23" s="3"/>
      <c r="C23" s="127" t="s">
        <v>118</v>
      </c>
      <c r="D23" s="128"/>
      <c r="E23" s="1294">
        <f>'Burn Pro Sen 1'!P40</f>
        <v>867611.25</v>
      </c>
      <c r="F23" s="1295"/>
      <c r="G23" s="1296"/>
      <c r="H23" s="1300">
        <f>'Burn Pro Sen 1'!V40</f>
        <v>78085.012499999997</v>
      </c>
      <c r="I23" s="1301"/>
      <c r="J23" s="1302"/>
      <c r="K23" s="3"/>
      <c r="L23" s="3"/>
      <c r="M23" s="3"/>
      <c r="N23" s="3"/>
      <c r="O23" s="3"/>
      <c r="P23" s="3"/>
      <c r="Q23" s="3"/>
      <c r="R23" s="3"/>
      <c r="S23" s="3"/>
      <c r="T23" s="3"/>
      <c r="U23" s="3"/>
      <c r="V23" s="3"/>
      <c r="W23" s="3"/>
      <c r="X23" s="3"/>
      <c r="Y23" s="3"/>
      <c r="Z23" s="3"/>
      <c r="AA23" s="3"/>
    </row>
    <row r="24" spans="1:28" ht="15" customHeight="1" x14ac:dyDescent="0.3">
      <c r="A24" s="79"/>
      <c r="B24" s="79"/>
      <c r="C24" s="129" t="s">
        <v>120</v>
      </c>
      <c r="D24" s="130"/>
      <c r="E24" s="1303">
        <f>'Burn Pro Sen 1'!P49</f>
        <v>912681.96428571432</v>
      </c>
      <c r="F24" s="1304"/>
      <c r="G24" s="1305"/>
      <c r="H24" s="1297">
        <f>'Burn Pro Sen 1'!V49</f>
        <v>82141.376785714296</v>
      </c>
      <c r="I24" s="1298"/>
      <c r="J24" s="1299"/>
      <c r="K24" s="79"/>
      <c r="L24" s="79"/>
      <c r="M24" s="79"/>
      <c r="N24" s="79"/>
      <c r="O24" s="79"/>
      <c r="P24" s="79"/>
      <c r="Q24" s="79"/>
      <c r="R24" s="79"/>
      <c r="S24" s="79"/>
      <c r="T24" s="79"/>
      <c r="U24" s="79"/>
      <c r="V24" s="79"/>
      <c r="W24" s="79"/>
      <c r="X24" s="79"/>
      <c r="Y24" s="79"/>
      <c r="Z24" s="3"/>
      <c r="AA24" s="79"/>
    </row>
    <row r="25" spans="1:28" ht="15" customHeight="1" x14ac:dyDescent="0.3">
      <c r="A25" s="79"/>
      <c r="B25" s="79"/>
      <c r="C25" s="131" t="s">
        <v>121</v>
      </c>
      <c r="D25" s="132"/>
      <c r="E25" s="1306">
        <f>'Burn Pro Sen 1'!P57</f>
        <v>844174.47857142868</v>
      </c>
      <c r="F25" s="1307"/>
      <c r="G25" s="1308"/>
      <c r="H25" s="1297">
        <f>'Burn Pro Sen 1'!V57</f>
        <v>75975.703071428579</v>
      </c>
      <c r="I25" s="1298"/>
      <c r="J25" s="1299"/>
      <c r="K25" s="79"/>
      <c r="L25" s="79"/>
      <c r="M25" s="79"/>
      <c r="N25" s="79"/>
      <c r="O25" s="79"/>
      <c r="P25" s="79"/>
      <c r="Q25" s="79"/>
      <c r="R25" s="79"/>
      <c r="S25" s="79"/>
      <c r="T25" s="79"/>
      <c r="U25" s="79"/>
      <c r="V25" s="79"/>
      <c r="W25" s="79"/>
      <c r="X25" s="79"/>
      <c r="Y25" s="79"/>
      <c r="Z25" s="3"/>
      <c r="AA25" s="79"/>
    </row>
    <row r="26" spans="1:28" ht="15" customHeight="1" x14ac:dyDescent="0.3">
      <c r="A26" s="79"/>
      <c r="B26" s="79"/>
      <c r="C26" s="133" t="s">
        <v>122</v>
      </c>
      <c r="D26" s="134"/>
      <c r="E26" s="1294">
        <f>'Burn Pro Sen 1'!P72</f>
        <v>698596.07142857148</v>
      </c>
      <c r="F26" s="1295"/>
      <c r="G26" s="1296"/>
      <c r="H26" s="1297">
        <f>'Burn Pro Sen 1'!V72</f>
        <v>62873.646428571432</v>
      </c>
      <c r="I26" s="1298"/>
      <c r="J26" s="1299"/>
      <c r="K26" s="79"/>
      <c r="L26" s="79"/>
      <c r="M26" s="79"/>
      <c r="N26" s="79"/>
      <c r="O26" s="79"/>
      <c r="P26" s="79"/>
      <c r="Q26" s="79"/>
      <c r="R26" s="79"/>
      <c r="S26" s="79"/>
      <c r="T26" s="79"/>
      <c r="U26" s="79"/>
      <c r="V26" s="79"/>
      <c r="W26" s="79"/>
      <c r="X26" s="79"/>
      <c r="Y26" s="79"/>
      <c r="Z26" s="3"/>
      <c r="AA26" s="79"/>
    </row>
    <row r="27" spans="1:28" ht="15" customHeight="1" x14ac:dyDescent="0.3">
      <c r="A27" s="79"/>
      <c r="B27" s="79"/>
      <c r="C27" s="135" t="s">
        <v>126</v>
      </c>
      <c r="D27" s="136"/>
      <c r="E27" s="1303">
        <f>'Burn Pro Sen 1'!P82</f>
        <v>684511.4732142858</v>
      </c>
      <c r="F27" s="1304"/>
      <c r="G27" s="1305"/>
      <c r="H27" s="1315">
        <f>'Burn Pro Sen 1'!V82</f>
        <v>61606.032589285714</v>
      </c>
      <c r="I27" s="1316"/>
      <c r="J27" s="1317"/>
      <c r="K27" s="79"/>
      <c r="L27" s="79"/>
      <c r="M27" s="79"/>
      <c r="N27" s="79"/>
      <c r="O27" s="79"/>
      <c r="P27" s="79"/>
      <c r="Q27" s="79"/>
      <c r="R27" s="79"/>
      <c r="S27" s="79"/>
      <c r="T27" s="79"/>
      <c r="U27" s="79"/>
      <c r="V27" s="79"/>
      <c r="W27" s="79"/>
      <c r="X27" s="79"/>
      <c r="Y27" s="79"/>
      <c r="Z27" s="3"/>
      <c r="AA27" s="79"/>
    </row>
    <row r="28" spans="1:28" ht="15" customHeight="1" x14ac:dyDescent="0.3">
      <c r="A28" s="79"/>
      <c r="B28" s="79"/>
      <c r="C28" s="137" t="s">
        <v>127</v>
      </c>
      <c r="D28" s="138"/>
      <c r="E28" s="1306">
        <f>'Burn Pro Sen 1'!P91</f>
        <v>680004.40178571432</v>
      </c>
      <c r="F28" s="1307"/>
      <c r="G28" s="1308"/>
      <c r="H28" s="1297">
        <f>'Burn Pro Sen 1'!V91</f>
        <v>61200.396160714285</v>
      </c>
      <c r="I28" s="1298"/>
      <c r="J28" s="1299"/>
      <c r="K28" s="79"/>
      <c r="L28" s="79"/>
      <c r="M28" s="79"/>
      <c r="N28" s="79"/>
      <c r="O28" s="79"/>
      <c r="P28" s="79"/>
      <c r="Q28" s="79"/>
      <c r="R28" s="79"/>
      <c r="S28" s="79"/>
      <c r="T28" s="79"/>
      <c r="U28" s="79"/>
      <c r="V28" s="79"/>
      <c r="W28" s="79"/>
      <c r="X28" s="79"/>
      <c r="Y28" s="79"/>
      <c r="Z28" s="3"/>
      <c r="AA28" s="79"/>
    </row>
    <row r="29" spans="1:28" ht="15" customHeight="1" x14ac:dyDescent="0.3">
      <c r="A29" s="79"/>
      <c r="B29" s="79"/>
      <c r="C29" s="139" t="s">
        <v>128</v>
      </c>
      <c r="D29" s="140"/>
      <c r="E29" s="1306">
        <f>'Burn Pro Sen 1'!P105</f>
        <v>652623.94285714289</v>
      </c>
      <c r="F29" s="1307"/>
      <c r="G29" s="1308"/>
      <c r="H29" s="1297">
        <f>'Burn Pro Sen 1'!V105</f>
        <v>58736.154857142858</v>
      </c>
      <c r="I29" s="1298"/>
      <c r="J29" s="1299"/>
      <c r="K29" s="79"/>
      <c r="L29" s="79"/>
      <c r="M29" s="79"/>
      <c r="N29" s="79"/>
      <c r="O29" s="79"/>
      <c r="P29" s="79"/>
      <c r="Q29" s="79"/>
      <c r="R29" s="79"/>
      <c r="S29" s="79"/>
      <c r="T29" s="79"/>
      <c r="U29" s="79"/>
      <c r="V29" s="79"/>
      <c r="W29" s="79"/>
      <c r="X29" s="79"/>
      <c r="Y29" s="79"/>
      <c r="Z29" s="3"/>
      <c r="AA29" s="79"/>
    </row>
    <row r="30" spans="1:28" ht="15" customHeight="1" x14ac:dyDescent="0.3">
      <c r="A30" s="79"/>
      <c r="B30" s="79"/>
      <c r="C30" s="141" t="s">
        <v>129</v>
      </c>
      <c r="D30" s="142"/>
      <c r="E30" s="1294">
        <f>'Burn Pro Sen 1'!P114</f>
        <v>559552.91785714286</v>
      </c>
      <c r="F30" s="1295"/>
      <c r="G30" s="1296"/>
      <c r="H30" s="1300">
        <f>'Burn Pro Sen 1'!V114</f>
        <v>50359.762607142853</v>
      </c>
      <c r="I30" s="1301"/>
      <c r="J30" s="1302"/>
      <c r="K30" s="79"/>
      <c r="L30" s="79"/>
      <c r="M30" s="79"/>
      <c r="N30" s="79"/>
      <c r="O30" s="79"/>
      <c r="P30" s="79"/>
      <c r="Q30" s="79"/>
      <c r="R30" s="79"/>
      <c r="S30" s="79"/>
      <c r="T30" s="79"/>
      <c r="U30" s="79"/>
      <c r="V30" s="79"/>
      <c r="W30" s="79"/>
      <c r="X30" s="79"/>
      <c r="Y30" s="79"/>
      <c r="Z30" s="3"/>
      <c r="AA30" s="79"/>
    </row>
    <row r="31" spans="1:28" ht="15" customHeight="1" thickBot="1" x14ac:dyDescent="0.35">
      <c r="A31" s="79"/>
      <c r="B31" s="79"/>
      <c r="C31" s="143" t="s">
        <v>135</v>
      </c>
      <c r="D31" s="144"/>
      <c r="E31" s="1309">
        <f>'Burn Pro Sen 1'!P122</f>
        <v>563383.92857142864</v>
      </c>
      <c r="F31" s="1310"/>
      <c r="G31" s="1311"/>
      <c r="H31" s="1312">
        <f>'Burn Pro Sen 1'!V122</f>
        <v>50704.553571428572</v>
      </c>
      <c r="I31" s="1313"/>
      <c r="J31" s="1314"/>
      <c r="K31" s="79"/>
      <c r="L31" s="79"/>
      <c r="M31" s="79"/>
      <c r="N31" s="79"/>
      <c r="O31" s="79"/>
      <c r="P31" s="79"/>
      <c r="Q31" s="79"/>
      <c r="R31" s="79"/>
      <c r="S31" s="79"/>
      <c r="T31" s="79"/>
      <c r="U31" s="79"/>
      <c r="V31" s="79"/>
      <c r="W31" s="79"/>
      <c r="X31" s="79"/>
      <c r="Y31" s="79"/>
      <c r="Z31" s="3"/>
      <c r="AA31" s="79"/>
    </row>
    <row r="32" spans="1:28" ht="15" customHeight="1" x14ac:dyDescent="0.3">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row>
  </sheetData>
  <mergeCells count="58">
    <mergeCell ref="T9:W9"/>
    <mergeCell ref="P7:Z8"/>
    <mergeCell ref="C7:L8"/>
    <mergeCell ref="M7:O8"/>
    <mergeCell ref="C9:L9"/>
    <mergeCell ref="M9:O9"/>
    <mergeCell ref="P9:S9"/>
    <mergeCell ref="T11:W11"/>
    <mergeCell ref="P10:Z10"/>
    <mergeCell ref="C12:L12"/>
    <mergeCell ref="M12:O12"/>
    <mergeCell ref="C10:L10"/>
    <mergeCell ref="M10:O10"/>
    <mergeCell ref="C11:L11"/>
    <mergeCell ref="M11:O11"/>
    <mergeCell ref="P11:S11"/>
    <mergeCell ref="P12:Z12"/>
    <mergeCell ref="P15:Z15"/>
    <mergeCell ref="M18:O18"/>
    <mergeCell ref="C13:L13"/>
    <mergeCell ref="M13:O13"/>
    <mergeCell ref="P13:S13"/>
    <mergeCell ref="T13:W13"/>
    <mergeCell ref="C14:L14"/>
    <mergeCell ref="M14:O14"/>
    <mergeCell ref="P14:S14"/>
    <mergeCell ref="T14:W14"/>
    <mergeCell ref="E22:G22"/>
    <mergeCell ref="H22:J22"/>
    <mergeCell ref="C15:L15"/>
    <mergeCell ref="M15:O15"/>
    <mergeCell ref="C18:D19"/>
    <mergeCell ref="E18:G19"/>
    <mergeCell ref="H18:J19"/>
    <mergeCell ref="M19:O19"/>
    <mergeCell ref="M20:O20"/>
    <mergeCell ref="E20:G20"/>
    <mergeCell ref="H20:J20"/>
    <mergeCell ref="E21:G21"/>
    <mergeCell ref="H21:J21"/>
    <mergeCell ref="E31:G31"/>
    <mergeCell ref="H31:J31"/>
    <mergeCell ref="E27:G27"/>
    <mergeCell ref="H27:J27"/>
    <mergeCell ref="E28:G28"/>
    <mergeCell ref="H28:J28"/>
    <mergeCell ref="E29:G29"/>
    <mergeCell ref="H29:J29"/>
    <mergeCell ref="E26:G26"/>
    <mergeCell ref="H26:J26"/>
    <mergeCell ref="E30:G30"/>
    <mergeCell ref="H30:J30"/>
    <mergeCell ref="E23:G23"/>
    <mergeCell ref="H23:J23"/>
    <mergeCell ref="E24:G24"/>
    <mergeCell ref="H24:J24"/>
    <mergeCell ref="E25:G25"/>
    <mergeCell ref="H25:J25"/>
  </mergeCells>
  <conditionalFormatting sqref="M18:O18">
    <cfRule type="cellIs" dxfId="0" priority="1" operator="equal">
      <formula>$M$13</formula>
    </cfRule>
  </conditionalFormatting>
  <dataValidations disablePrompts="1" count="4">
    <dataValidation allowBlank="1" showInputMessage="1" showErrorMessage="1" prompt="6° 17' 40.1424''" sqref="JS65502 TO65502 ADK65502 ANG65502 AXC65502 BGY65502 BQU65502 CAQ65502 CKM65502 CUI65502 DEE65502 DOA65502 DXW65502 EHS65502 ERO65502 FBK65502 FLG65502 FVC65502 GEY65502 GOU65502 GYQ65502 HIM65502 HSI65502 ICE65502 IMA65502 IVW65502 JFS65502 JPO65502 JZK65502 KJG65502 KTC65502 LCY65502 LMU65502 LWQ65502 MGM65502 MQI65502 NAE65502 NKA65502 NTW65502 ODS65502 ONO65502 OXK65502 PHG65502 PRC65502 QAY65502 QKU65502 QUQ65502 REM65502 ROI65502 RYE65502 SIA65502 SRW65502 TBS65502 TLO65502 TVK65502 UFG65502 UPC65502 UYY65502 VIU65502 VSQ65502 WCM65502 WMI65502 WWE65502 JS131038 TO131038 ADK131038 ANG131038 AXC131038 BGY131038 BQU131038 CAQ131038 CKM131038 CUI131038 DEE131038 DOA131038 DXW131038 EHS131038 ERO131038 FBK131038 FLG131038 FVC131038 GEY131038 GOU131038 GYQ131038 HIM131038 HSI131038 ICE131038 IMA131038 IVW131038 JFS131038 JPO131038 JZK131038 KJG131038 KTC131038 LCY131038 LMU131038 LWQ131038 MGM131038 MQI131038 NAE131038 NKA131038 NTW131038 ODS131038 ONO131038 OXK131038 PHG131038 PRC131038 QAY131038 QKU131038 QUQ131038 REM131038 ROI131038 RYE131038 SIA131038 SRW131038 TBS131038 TLO131038 TVK131038 UFG131038 UPC131038 UYY131038 VIU131038 VSQ131038 WCM131038 WMI131038 WWE131038 JS196574 TO196574 ADK196574 ANG196574 AXC196574 BGY196574 BQU196574 CAQ196574 CKM196574 CUI196574 DEE196574 DOA196574 DXW196574 EHS196574 ERO196574 FBK196574 FLG196574 FVC196574 GEY196574 GOU196574 GYQ196574 HIM196574 HSI196574 ICE196574 IMA196574 IVW196574 JFS196574 JPO196574 JZK196574 KJG196574 KTC196574 LCY196574 LMU196574 LWQ196574 MGM196574 MQI196574 NAE196574 NKA196574 NTW196574 ODS196574 ONO196574 OXK196574 PHG196574 PRC196574 QAY196574 QKU196574 QUQ196574 REM196574 ROI196574 RYE196574 SIA196574 SRW196574 TBS196574 TLO196574 TVK196574 UFG196574 UPC196574 UYY196574 VIU196574 VSQ196574 WCM196574 WMI196574 WWE196574 JS262110 TO262110 ADK262110 ANG262110 AXC262110 BGY262110 BQU262110 CAQ262110 CKM262110 CUI262110 DEE262110 DOA262110 DXW262110 EHS262110 ERO262110 FBK262110 FLG262110 FVC262110 GEY262110 GOU262110 GYQ262110 HIM262110 HSI262110 ICE262110 IMA262110 IVW262110 JFS262110 JPO262110 JZK262110 KJG262110 KTC262110 LCY262110 LMU262110 LWQ262110 MGM262110 MQI262110 NAE262110 NKA262110 NTW262110 ODS262110 ONO262110 OXK262110 PHG262110 PRC262110 QAY262110 QKU262110 QUQ262110 REM262110 ROI262110 RYE262110 SIA262110 SRW262110 TBS262110 TLO262110 TVK262110 UFG262110 UPC262110 UYY262110 VIU262110 VSQ262110 WCM262110 WMI262110 WWE262110 JS327646 TO327646 ADK327646 ANG327646 AXC327646 BGY327646 BQU327646 CAQ327646 CKM327646 CUI327646 DEE327646 DOA327646 DXW327646 EHS327646 ERO327646 FBK327646 FLG327646 FVC327646 GEY327646 GOU327646 GYQ327646 HIM327646 HSI327646 ICE327646 IMA327646 IVW327646 JFS327646 JPO327646 JZK327646 KJG327646 KTC327646 LCY327646 LMU327646 LWQ327646 MGM327646 MQI327646 NAE327646 NKA327646 NTW327646 ODS327646 ONO327646 OXK327646 PHG327646 PRC327646 QAY327646 QKU327646 QUQ327646 REM327646 ROI327646 RYE327646 SIA327646 SRW327646 TBS327646 TLO327646 TVK327646 UFG327646 UPC327646 UYY327646 VIU327646 VSQ327646 WCM327646 WMI327646 WWE327646 JS393182 TO393182 ADK393182 ANG393182 AXC393182 BGY393182 BQU393182 CAQ393182 CKM393182 CUI393182 DEE393182 DOA393182 DXW393182 EHS393182 ERO393182 FBK393182 FLG393182 FVC393182 GEY393182 GOU393182 GYQ393182 HIM393182 HSI393182 ICE393182 IMA393182 IVW393182 JFS393182 JPO393182 JZK393182 KJG393182 KTC393182 LCY393182 LMU393182 LWQ393182 MGM393182 MQI393182 NAE393182 NKA393182 NTW393182 ODS393182 ONO393182 OXK393182 PHG393182 PRC393182 QAY393182 QKU393182 QUQ393182 REM393182 ROI393182 RYE393182 SIA393182 SRW393182 TBS393182 TLO393182 TVK393182 UFG393182 UPC393182 UYY393182 VIU393182 VSQ393182 WCM393182 WMI393182 WWE393182 JS458718 TO458718 ADK458718 ANG458718 AXC458718 BGY458718 BQU458718 CAQ458718 CKM458718 CUI458718 DEE458718 DOA458718 DXW458718 EHS458718 ERO458718 FBK458718 FLG458718 FVC458718 GEY458718 GOU458718 GYQ458718 HIM458718 HSI458718 ICE458718 IMA458718 IVW458718 JFS458718 JPO458718 JZK458718 KJG458718 KTC458718 LCY458718 LMU458718 LWQ458718 MGM458718 MQI458718 NAE458718 NKA458718 NTW458718 ODS458718 ONO458718 OXK458718 PHG458718 PRC458718 QAY458718 QKU458718 QUQ458718 REM458718 ROI458718 RYE458718 SIA458718 SRW458718 TBS458718 TLO458718 TVK458718 UFG458718 UPC458718 UYY458718 VIU458718 VSQ458718 WCM458718 WMI458718 WWE458718 JS524254 TO524254 ADK524254 ANG524254 AXC524254 BGY524254 BQU524254 CAQ524254 CKM524254 CUI524254 DEE524254 DOA524254 DXW524254 EHS524254 ERO524254 FBK524254 FLG524254 FVC524254 GEY524254 GOU524254 GYQ524254 HIM524254 HSI524254 ICE524254 IMA524254 IVW524254 JFS524254 JPO524254 JZK524254 KJG524254 KTC524254 LCY524254 LMU524254 LWQ524254 MGM524254 MQI524254 NAE524254 NKA524254 NTW524254 ODS524254 ONO524254 OXK524254 PHG524254 PRC524254 QAY524254 QKU524254 QUQ524254 REM524254 ROI524254 RYE524254 SIA524254 SRW524254 TBS524254 TLO524254 TVK524254 UFG524254 UPC524254 UYY524254 VIU524254 VSQ524254 WCM524254 WMI524254 WWE524254 JS589790 TO589790 ADK589790 ANG589790 AXC589790 BGY589790 BQU589790 CAQ589790 CKM589790 CUI589790 DEE589790 DOA589790 DXW589790 EHS589790 ERO589790 FBK589790 FLG589790 FVC589790 GEY589790 GOU589790 GYQ589790 HIM589790 HSI589790 ICE589790 IMA589790 IVW589790 JFS589790 JPO589790 JZK589790 KJG589790 KTC589790 LCY589790 LMU589790 LWQ589790 MGM589790 MQI589790 NAE589790 NKA589790 NTW589790 ODS589790 ONO589790 OXK589790 PHG589790 PRC589790 QAY589790 QKU589790 QUQ589790 REM589790 ROI589790 RYE589790 SIA589790 SRW589790 TBS589790 TLO589790 TVK589790 UFG589790 UPC589790 UYY589790 VIU589790 VSQ589790 WCM589790 WMI589790 WWE589790 JS655326 TO655326 ADK655326 ANG655326 AXC655326 BGY655326 BQU655326 CAQ655326 CKM655326 CUI655326 DEE655326 DOA655326 DXW655326 EHS655326 ERO655326 FBK655326 FLG655326 FVC655326 GEY655326 GOU655326 GYQ655326 HIM655326 HSI655326 ICE655326 IMA655326 IVW655326 JFS655326 JPO655326 JZK655326 KJG655326 KTC655326 LCY655326 LMU655326 LWQ655326 MGM655326 MQI655326 NAE655326 NKA655326 NTW655326 ODS655326 ONO655326 OXK655326 PHG655326 PRC655326 QAY655326 QKU655326 QUQ655326 REM655326 ROI655326 RYE655326 SIA655326 SRW655326 TBS655326 TLO655326 TVK655326 UFG655326 UPC655326 UYY655326 VIU655326 VSQ655326 WCM655326 WMI655326 WWE655326 JS720862 TO720862 ADK720862 ANG720862 AXC720862 BGY720862 BQU720862 CAQ720862 CKM720862 CUI720862 DEE720862 DOA720862 DXW720862 EHS720862 ERO720862 FBK720862 FLG720862 FVC720862 GEY720862 GOU720862 GYQ720862 HIM720862 HSI720862 ICE720862 IMA720862 IVW720862 JFS720862 JPO720862 JZK720862 KJG720862 KTC720862 LCY720862 LMU720862 LWQ720862 MGM720862 MQI720862 NAE720862 NKA720862 NTW720862 ODS720862 ONO720862 OXK720862 PHG720862 PRC720862 QAY720862 QKU720862 QUQ720862 REM720862 ROI720862 RYE720862 SIA720862 SRW720862 TBS720862 TLO720862 TVK720862 UFG720862 UPC720862 UYY720862 VIU720862 VSQ720862 WCM720862 WMI720862 WWE720862 JS786398 TO786398 ADK786398 ANG786398 AXC786398 BGY786398 BQU786398 CAQ786398 CKM786398 CUI786398 DEE786398 DOA786398 DXW786398 EHS786398 ERO786398 FBK786398 FLG786398 FVC786398 GEY786398 GOU786398 GYQ786398 HIM786398 HSI786398 ICE786398 IMA786398 IVW786398 JFS786398 JPO786398 JZK786398 KJG786398 KTC786398 LCY786398 LMU786398 LWQ786398 MGM786398 MQI786398 NAE786398 NKA786398 NTW786398 ODS786398 ONO786398 OXK786398 PHG786398 PRC786398 QAY786398 QKU786398 QUQ786398 REM786398 ROI786398 RYE786398 SIA786398 SRW786398 TBS786398 TLO786398 TVK786398 UFG786398 UPC786398 UYY786398 VIU786398 VSQ786398 WCM786398 WMI786398 WWE786398 JS851934 TO851934 ADK851934 ANG851934 AXC851934 BGY851934 BQU851934 CAQ851934 CKM851934 CUI851934 DEE851934 DOA851934 DXW851934 EHS851934 ERO851934 FBK851934 FLG851934 FVC851934 GEY851934 GOU851934 GYQ851934 HIM851934 HSI851934 ICE851934 IMA851934 IVW851934 JFS851934 JPO851934 JZK851934 KJG851934 KTC851934 LCY851934 LMU851934 LWQ851934 MGM851934 MQI851934 NAE851934 NKA851934 NTW851934 ODS851934 ONO851934 OXK851934 PHG851934 PRC851934 QAY851934 QKU851934 QUQ851934 REM851934 ROI851934 RYE851934 SIA851934 SRW851934 TBS851934 TLO851934 TVK851934 UFG851934 UPC851934 UYY851934 VIU851934 VSQ851934 WCM851934 WMI851934 WWE851934 JS917470 TO917470 ADK917470 ANG917470 AXC917470 BGY917470 BQU917470 CAQ917470 CKM917470 CUI917470 DEE917470 DOA917470 DXW917470 EHS917470 ERO917470 FBK917470 FLG917470 FVC917470 GEY917470 GOU917470 GYQ917470 HIM917470 HSI917470 ICE917470 IMA917470 IVW917470 JFS917470 JPO917470 JZK917470 KJG917470 KTC917470 LCY917470 LMU917470 LWQ917470 MGM917470 MQI917470 NAE917470 NKA917470 NTW917470 ODS917470 ONO917470 OXK917470 PHG917470 PRC917470 QAY917470 QKU917470 QUQ917470 REM917470 ROI917470 RYE917470 SIA917470 SRW917470 TBS917470 TLO917470 TVK917470 UFG917470 UPC917470 UYY917470 VIU917470 VSQ917470 WCM917470 WMI917470 WWE917470 JS983006 TO983006 ADK983006 ANG983006 AXC983006 BGY983006 BQU983006 CAQ983006 CKM983006 CUI983006 DEE983006 DOA983006 DXW983006 EHS983006 ERO983006 FBK983006 FLG983006 FVC983006 GEY983006 GOU983006 GYQ983006 HIM983006 HSI983006 ICE983006 IMA983006 IVW983006 JFS983006 JPO983006 JZK983006 KJG983006 KTC983006 LCY983006 LMU983006 LWQ983006 MGM983006 MQI983006 NAE983006 NKA983006 NTW983006 ODS983006 ONO983006 OXK983006 PHG983006 PRC983006 QAY983006 QKU983006 QUQ983006 REM983006 ROI983006 RYE983006 SIA983006 SRW983006 TBS983006 TLO983006 TVK983006 UFG983006 UPC983006 UYY983006 VIU983006 VSQ983006 WCM983006 WMI983006 WWE983006"/>
    <dataValidation allowBlank="1" showInputMessage="1" showErrorMessage="1" prompt="53° 20' 52.4436''" sqref="JQ65502 TM65502 ADI65502 ANE65502 AXA65502 BGW65502 BQS65502 CAO65502 CKK65502 CUG65502 DEC65502 DNY65502 DXU65502 EHQ65502 ERM65502 FBI65502 FLE65502 FVA65502 GEW65502 GOS65502 GYO65502 HIK65502 HSG65502 ICC65502 ILY65502 IVU65502 JFQ65502 JPM65502 JZI65502 KJE65502 KTA65502 LCW65502 LMS65502 LWO65502 MGK65502 MQG65502 NAC65502 NJY65502 NTU65502 ODQ65502 ONM65502 OXI65502 PHE65502 PRA65502 QAW65502 QKS65502 QUO65502 REK65502 ROG65502 RYC65502 SHY65502 SRU65502 TBQ65502 TLM65502 TVI65502 UFE65502 UPA65502 UYW65502 VIS65502 VSO65502 WCK65502 WMG65502 WWC65502 JQ131038 TM131038 ADI131038 ANE131038 AXA131038 BGW131038 BQS131038 CAO131038 CKK131038 CUG131038 DEC131038 DNY131038 DXU131038 EHQ131038 ERM131038 FBI131038 FLE131038 FVA131038 GEW131038 GOS131038 GYO131038 HIK131038 HSG131038 ICC131038 ILY131038 IVU131038 JFQ131038 JPM131038 JZI131038 KJE131038 KTA131038 LCW131038 LMS131038 LWO131038 MGK131038 MQG131038 NAC131038 NJY131038 NTU131038 ODQ131038 ONM131038 OXI131038 PHE131038 PRA131038 QAW131038 QKS131038 QUO131038 REK131038 ROG131038 RYC131038 SHY131038 SRU131038 TBQ131038 TLM131038 TVI131038 UFE131038 UPA131038 UYW131038 VIS131038 VSO131038 WCK131038 WMG131038 WWC131038 JQ196574 TM196574 ADI196574 ANE196574 AXA196574 BGW196574 BQS196574 CAO196574 CKK196574 CUG196574 DEC196574 DNY196574 DXU196574 EHQ196574 ERM196574 FBI196574 FLE196574 FVA196574 GEW196574 GOS196574 GYO196574 HIK196574 HSG196574 ICC196574 ILY196574 IVU196574 JFQ196574 JPM196574 JZI196574 KJE196574 KTA196574 LCW196574 LMS196574 LWO196574 MGK196574 MQG196574 NAC196574 NJY196574 NTU196574 ODQ196574 ONM196574 OXI196574 PHE196574 PRA196574 QAW196574 QKS196574 QUO196574 REK196574 ROG196574 RYC196574 SHY196574 SRU196574 TBQ196574 TLM196574 TVI196574 UFE196574 UPA196574 UYW196574 VIS196574 VSO196574 WCK196574 WMG196574 WWC196574 JQ262110 TM262110 ADI262110 ANE262110 AXA262110 BGW262110 BQS262110 CAO262110 CKK262110 CUG262110 DEC262110 DNY262110 DXU262110 EHQ262110 ERM262110 FBI262110 FLE262110 FVA262110 GEW262110 GOS262110 GYO262110 HIK262110 HSG262110 ICC262110 ILY262110 IVU262110 JFQ262110 JPM262110 JZI262110 KJE262110 KTA262110 LCW262110 LMS262110 LWO262110 MGK262110 MQG262110 NAC262110 NJY262110 NTU262110 ODQ262110 ONM262110 OXI262110 PHE262110 PRA262110 QAW262110 QKS262110 QUO262110 REK262110 ROG262110 RYC262110 SHY262110 SRU262110 TBQ262110 TLM262110 TVI262110 UFE262110 UPA262110 UYW262110 VIS262110 VSO262110 WCK262110 WMG262110 WWC262110 JQ327646 TM327646 ADI327646 ANE327646 AXA327646 BGW327646 BQS327646 CAO327646 CKK327646 CUG327646 DEC327646 DNY327646 DXU327646 EHQ327646 ERM327646 FBI327646 FLE327646 FVA327646 GEW327646 GOS327646 GYO327646 HIK327646 HSG327646 ICC327646 ILY327646 IVU327646 JFQ327646 JPM327646 JZI327646 KJE327646 KTA327646 LCW327646 LMS327646 LWO327646 MGK327646 MQG327646 NAC327646 NJY327646 NTU327646 ODQ327646 ONM327646 OXI327646 PHE327646 PRA327646 QAW327646 QKS327646 QUO327646 REK327646 ROG327646 RYC327646 SHY327646 SRU327646 TBQ327646 TLM327646 TVI327646 UFE327646 UPA327646 UYW327646 VIS327646 VSO327646 WCK327646 WMG327646 WWC327646 JQ393182 TM393182 ADI393182 ANE393182 AXA393182 BGW393182 BQS393182 CAO393182 CKK393182 CUG393182 DEC393182 DNY393182 DXU393182 EHQ393182 ERM393182 FBI393182 FLE393182 FVA393182 GEW393182 GOS393182 GYO393182 HIK393182 HSG393182 ICC393182 ILY393182 IVU393182 JFQ393182 JPM393182 JZI393182 KJE393182 KTA393182 LCW393182 LMS393182 LWO393182 MGK393182 MQG393182 NAC393182 NJY393182 NTU393182 ODQ393182 ONM393182 OXI393182 PHE393182 PRA393182 QAW393182 QKS393182 QUO393182 REK393182 ROG393182 RYC393182 SHY393182 SRU393182 TBQ393182 TLM393182 TVI393182 UFE393182 UPA393182 UYW393182 VIS393182 VSO393182 WCK393182 WMG393182 WWC393182 JQ458718 TM458718 ADI458718 ANE458718 AXA458718 BGW458718 BQS458718 CAO458718 CKK458718 CUG458718 DEC458718 DNY458718 DXU458718 EHQ458718 ERM458718 FBI458718 FLE458718 FVA458718 GEW458718 GOS458718 GYO458718 HIK458718 HSG458718 ICC458718 ILY458718 IVU458718 JFQ458718 JPM458718 JZI458718 KJE458718 KTA458718 LCW458718 LMS458718 LWO458718 MGK458718 MQG458718 NAC458718 NJY458718 NTU458718 ODQ458718 ONM458718 OXI458718 PHE458718 PRA458718 QAW458718 QKS458718 QUO458718 REK458718 ROG458718 RYC458718 SHY458718 SRU458718 TBQ458718 TLM458718 TVI458718 UFE458718 UPA458718 UYW458718 VIS458718 VSO458718 WCK458718 WMG458718 WWC458718 JQ524254 TM524254 ADI524254 ANE524254 AXA524254 BGW524254 BQS524254 CAO524254 CKK524254 CUG524254 DEC524254 DNY524254 DXU524254 EHQ524254 ERM524254 FBI524254 FLE524254 FVA524254 GEW524254 GOS524254 GYO524254 HIK524254 HSG524254 ICC524254 ILY524254 IVU524254 JFQ524254 JPM524254 JZI524254 KJE524254 KTA524254 LCW524254 LMS524254 LWO524254 MGK524254 MQG524254 NAC524254 NJY524254 NTU524254 ODQ524254 ONM524254 OXI524254 PHE524254 PRA524254 QAW524254 QKS524254 QUO524254 REK524254 ROG524254 RYC524254 SHY524254 SRU524254 TBQ524254 TLM524254 TVI524254 UFE524254 UPA524254 UYW524254 VIS524254 VSO524254 WCK524254 WMG524254 WWC524254 JQ589790 TM589790 ADI589790 ANE589790 AXA589790 BGW589790 BQS589790 CAO589790 CKK589790 CUG589790 DEC589790 DNY589790 DXU589790 EHQ589790 ERM589790 FBI589790 FLE589790 FVA589790 GEW589790 GOS589790 GYO589790 HIK589790 HSG589790 ICC589790 ILY589790 IVU589790 JFQ589790 JPM589790 JZI589790 KJE589790 KTA589790 LCW589790 LMS589790 LWO589790 MGK589790 MQG589790 NAC589790 NJY589790 NTU589790 ODQ589790 ONM589790 OXI589790 PHE589790 PRA589790 QAW589790 QKS589790 QUO589790 REK589790 ROG589790 RYC589790 SHY589790 SRU589790 TBQ589790 TLM589790 TVI589790 UFE589790 UPA589790 UYW589790 VIS589790 VSO589790 WCK589790 WMG589790 WWC589790 JQ655326 TM655326 ADI655326 ANE655326 AXA655326 BGW655326 BQS655326 CAO655326 CKK655326 CUG655326 DEC655326 DNY655326 DXU655326 EHQ655326 ERM655326 FBI655326 FLE655326 FVA655326 GEW655326 GOS655326 GYO655326 HIK655326 HSG655326 ICC655326 ILY655326 IVU655326 JFQ655326 JPM655326 JZI655326 KJE655326 KTA655326 LCW655326 LMS655326 LWO655326 MGK655326 MQG655326 NAC655326 NJY655326 NTU655326 ODQ655326 ONM655326 OXI655326 PHE655326 PRA655326 QAW655326 QKS655326 QUO655326 REK655326 ROG655326 RYC655326 SHY655326 SRU655326 TBQ655326 TLM655326 TVI655326 UFE655326 UPA655326 UYW655326 VIS655326 VSO655326 WCK655326 WMG655326 WWC655326 JQ720862 TM720862 ADI720862 ANE720862 AXA720862 BGW720862 BQS720862 CAO720862 CKK720862 CUG720862 DEC720862 DNY720862 DXU720862 EHQ720862 ERM720862 FBI720862 FLE720862 FVA720862 GEW720862 GOS720862 GYO720862 HIK720862 HSG720862 ICC720862 ILY720862 IVU720862 JFQ720862 JPM720862 JZI720862 KJE720862 KTA720862 LCW720862 LMS720862 LWO720862 MGK720862 MQG720862 NAC720862 NJY720862 NTU720862 ODQ720862 ONM720862 OXI720862 PHE720862 PRA720862 QAW720862 QKS720862 QUO720862 REK720862 ROG720862 RYC720862 SHY720862 SRU720862 TBQ720862 TLM720862 TVI720862 UFE720862 UPA720862 UYW720862 VIS720862 VSO720862 WCK720862 WMG720862 WWC720862 JQ786398 TM786398 ADI786398 ANE786398 AXA786398 BGW786398 BQS786398 CAO786398 CKK786398 CUG786398 DEC786398 DNY786398 DXU786398 EHQ786398 ERM786398 FBI786398 FLE786398 FVA786398 GEW786398 GOS786398 GYO786398 HIK786398 HSG786398 ICC786398 ILY786398 IVU786398 JFQ786398 JPM786398 JZI786398 KJE786398 KTA786398 LCW786398 LMS786398 LWO786398 MGK786398 MQG786398 NAC786398 NJY786398 NTU786398 ODQ786398 ONM786398 OXI786398 PHE786398 PRA786398 QAW786398 QKS786398 QUO786398 REK786398 ROG786398 RYC786398 SHY786398 SRU786398 TBQ786398 TLM786398 TVI786398 UFE786398 UPA786398 UYW786398 VIS786398 VSO786398 WCK786398 WMG786398 WWC786398 JQ851934 TM851934 ADI851934 ANE851934 AXA851934 BGW851934 BQS851934 CAO851934 CKK851934 CUG851934 DEC851934 DNY851934 DXU851934 EHQ851934 ERM851934 FBI851934 FLE851934 FVA851934 GEW851934 GOS851934 GYO851934 HIK851934 HSG851934 ICC851934 ILY851934 IVU851934 JFQ851934 JPM851934 JZI851934 KJE851934 KTA851934 LCW851934 LMS851934 LWO851934 MGK851934 MQG851934 NAC851934 NJY851934 NTU851934 ODQ851934 ONM851934 OXI851934 PHE851934 PRA851934 QAW851934 QKS851934 QUO851934 REK851934 ROG851934 RYC851934 SHY851934 SRU851934 TBQ851934 TLM851934 TVI851934 UFE851934 UPA851934 UYW851934 VIS851934 VSO851934 WCK851934 WMG851934 WWC851934 JQ917470 TM917470 ADI917470 ANE917470 AXA917470 BGW917470 BQS917470 CAO917470 CKK917470 CUG917470 DEC917470 DNY917470 DXU917470 EHQ917470 ERM917470 FBI917470 FLE917470 FVA917470 GEW917470 GOS917470 GYO917470 HIK917470 HSG917470 ICC917470 ILY917470 IVU917470 JFQ917470 JPM917470 JZI917470 KJE917470 KTA917470 LCW917470 LMS917470 LWO917470 MGK917470 MQG917470 NAC917470 NJY917470 NTU917470 ODQ917470 ONM917470 OXI917470 PHE917470 PRA917470 QAW917470 QKS917470 QUO917470 REK917470 ROG917470 RYC917470 SHY917470 SRU917470 TBQ917470 TLM917470 TVI917470 UFE917470 UPA917470 UYW917470 VIS917470 VSO917470 WCK917470 WMG917470 WWC917470 JQ983006 TM983006 ADI983006 ANE983006 AXA983006 BGW983006 BQS983006 CAO983006 CKK983006 CUG983006 DEC983006 DNY983006 DXU983006 EHQ983006 ERM983006 FBI983006 FLE983006 FVA983006 GEW983006 GOS983006 GYO983006 HIK983006 HSG983006 ICC983006 ILY983006 IVU983006 JFQ983006 JPM983006 JZI983006 KJE983006 KTA983006 LCW983006 LMS983006 LWO983006 MGK983006 MQG983006 NAC983006 NJY983006 NTU983006 ODQ983006 ONM983006 OXI983006 PHE983006 PRA983006 QAW983006 QKS983006 QUO983006 REK983006 ROG983006 RYC983006 SHY983006 SRU983006 TBQ983006 TLM983006 TVI983006 UFE983006 UPA983006 UYW983006 VIS983006 VSO983006 WCK983006 WMG983006 WWC983006"/>
    <dataValidation allowBlank="1" showInputMessage="1" showErrorMessage="1" prompt="-6.294484" sqref="JS65498 TO65498 ADK65498 ANG65498 AXC65498 BGY65498 BQU65498 CAQ65498 CKM65498 CUI65498 DEE65498 DOA65498 DXW65498 EHS65498 ERO65498 FBK65498 FLG65498 FVC65498 GEY65498 GOU65498 GYQ65498 HIM65498 HSI65498 ICE65498 IMA65498 IVW65498 JFS65498 JPO65498 JZK65498 KJG65498 KTC65498 LCY65498 LMU65498 LWQ65498 MGM65498 MQI65498 NAE65498 NKA65498 NTW65498 ODS65498 ONO65498 OXK65498 PHG65498 PRC65498 QAY65498 QKU65498 QUQ65498 REM65498 ROI65498 RYE65498 SIA65498 SRW65498 TBS65498 TLO65498 TVK65498 UFG65498 UPC65498 UYY65498 VIU65498 VSQ65498 WCM65498 WMI65498 WWE65498 JS131034 TO131034 ADK131034 ANG131034 AXC131034 BGY131034 BQU131034 CAQ131034 CKM131034 CUI131034 DEE131034 DOA131034 DXW131034 EHS131034 ERO131034 FBK131034 FLG131034 FVC131034 GEY131034 GOU131034 GYQ131034 HIM131034 HSI131034 ICE131034 IMA131034 IVW131034 JFS131034 JPO131034 JZK131034 KJG131034 KTC131034 LCY131034 LMU131034 LWQ131034 MGM131034 MQI131034 NAE131034 NKA131034 NTW131034 ODS131034 ONO131034 OXK131034 PHG131034 PRC131034 QAY131034 QKU131034 QUQ131034 REM131034 ROI131034 RYE131034 SIA131034 SRW131034 TBS131034 TLO131034 TVK131034 UFG131034 UPC131034 UYY131034 VIU131034 VSQ131034 WCM131034 WMI131034 WWE131034 JS196570 TO196570 ADK196570 ANG196570 AXC196570 BGY196570 BQU196570 CAQ196570 CKM196570 CUI196570 DEE196570 DOA196570 DXW196570 EHS196570 ERO196570 FBK196570 FLG196570 FVC196570 GEY196570 GOU196570 GYQ196570 HIM196570 HSI196570 ICE196570 IMA196570 IVW196570 JFS196570 JPO196570 JZK196570 KJG196570 KTC196570 LCY196570 LMU196570 LWQ196570 MGM196570 MQI196570 NAE196570 NKA196570 NTW196570 ODS196570 ONO196570 OXK196570 PHG196570 PRC196570 QAY196570 QKU196570 QUQ196570 REM196570 ROI196570 RYE196570 SIA196570 SRW196570 TBS196570 TLO196570 TVK196570 UFG196570 UPC196570 UYY196570 VIU196570 VSQ196570 WCM196570 WMI196570 WWE196570 JS262106 TO262106 ADK262106 ANG262106 AXC262106 BGY262106 BQU262106 CAQ262106 CKM262106 CUI262106 DEE262106 DOA262106 DXW262106 EHS262106 ERO262106 FBK262106 FLG262106 FVC262106 GEY262106 GOU262106 GYQ262106 HIM262106 HSI262106 ICE262106 IMA262106 IVW262106 JFS262106 JPO262106 JZK262106 KJG262106 KTC262106 LCY262106 LMU262106 LWQ262106 MGM262106 MQI262106 NAE262106 NKA262106 NTW262106 ODS262106 ONO262106 OXK262106 PHG262106 PRC262106 QAY262106 QKU262106 QUQ262106 REM262106 ROI262106 RYE262106 SIA262106 SRW262106 TBS262106 TLO262106 TVK262106 UFG262106 UPC262106 UYY262106 VIU262106 VSQ262106 WCM262106 WMI262106 WWE262106 JS327642 TO327642 ADK327642 ANG327642 AXC327642 BGY327642 BQU327642 CAQ327642 CKM327642 CUI327642 DEE327642 DOA327642 DXW327642 EHS327642 ERO327642 FBK327642 FLG327642 FVC327642 GEY327642 GOU327642 GYQ327642 HIM327642 HSI327642 ICE327642 IMA327642 IVW327642 JFS327642 JPO327642 JZK327642 KJG327642 KTC327642 LCY327642 LMU327642 LWQ327642 MGM327642 MQI327642 NAE327642 NKA327642 NTW327642 ODS327642 ONO327642 OXK327642 PHG327642 PRC327642 QAY327642 QKU327642 QUQ327642 REM327642 ROI327642 RYE327642 SIA327642 SRW327642 TBS327642 TLO327642 TVK327642 UFG327642 UPC327642 UYY327642 VIU327642 VSQ327642 WCM327642 WMI327642 WWE327642 JS393178 TO393178 ADK393178 ANG393178 AXC393178 BGY393178 BQU393178 CAQ393178 CKM393178 CUI393178 DEE393178 DOA393178 DXW393178 EHS393178 ERO393178 FBK393178 FLG393178 FVC393178 GEY393178 GOU393178 GYQ393178 HIM393178 HSI393178 ICE393178 IMA393178 IVW393178 JFS393178 JPO393178 JZK393178 KJG393178 KTC393178 LCY393178 LMU393178 LWQ393178 MGM393178 MQI393178 NAE393178 NKA393178 NTW393178 ODS393178 ONO393178 OXK393178 PHG393178 PRC393178 QAY393178 QKU393178 QUQ393178 REM393178 ROI393178 RYE393178 SIA393178 SRW393178 TBS393178 TLO393178 TVK393178 UFG393178 UPC393178 UYY393178 VIU393178 VSQ393178 WCM393178 WMI393178 WWE393178 JS458714 TO458714 ADK458714 ANG458714 AXC458714 BGY458714 BQU458714 CAQ458714 CKM458714 CUI458714 DEE458714 DOA458714 DXW458714 EHS458714 ERO458714 FBK458714 FLG458714 FVC458714 GEY458714 GOU458714 GYQ458714 HIM458714 HSI458714 ICE458714 IMA458714 IVW458714 JFS458714 JPO458714 JZK458714 KJG458714 KTC458714 LCY458714 LMU458714 LWQ458714 MGM458714 MQI458714 NAE458714 NKA458714 NTW458714 ODS458714 ONO458714 OXK458714 PHG458714 PRC458714 QAY458714 QKU458714 QUQ458714 REM458714 ROI458714 RYE458714 SIA458714 SRW458714 TBS458714 TLO458714 TVK458714 UFG458714 UPC458714 UYY458714 VIU458714 VSQ458714 WCM458714 WMI458714 WWE458714 JS524250 TO524250 ADK524250 ANG524250 AXC524250 BGY524250 BQU524250 CAQ524250 CKM524250 CUI524250 DEE524250 DOA524250 DXW524250 EHS524250 ERO524250 FBK524250 FLG524250 FVC524250 GEY524250 GOU524250 GYQ524250 HIM524250 HSI524250 ICE524250 IMA524250 IVW524250 JFS524250 JPO524250 JZK524250 KJG524250 KTC524250 LCY524250 LMU524250 LWQ524250 MGM524250 MQI524250 NAE524250 NKA524250 NTW524250 ODS524250 ONO524250 OXK524250 PHG524250 PRC524250 QAY524250 QKU524250 QUQ524250 REM524250 ROI524250 RYE524250 SIA524250 SRW524250 TBS524250 TLO524250 TVK524250 UFG524250 UPC524250 UYY524250 VIU524250 VSQ524250 WCM524250 WMI524250 WWE524250 JS589786 TO589786 ADK589786 ANG589786 AXC589786 BGY589786 BQU589786 CAQ589786 CKM589786 CUI589786 DEE589786 DOA589786 DXW589786 EHS589786 ERO589786 FBK589786 FLG589786 FVC589786 GEY589786 GOU589786 GYQ589786 HIM589786 HSI589786 ICE589786 IMA589786 IVW589786 JFS589786 JPO589786 JZK589786 KJG589786 KTC589786 LCY589786 LMU589786 LWQ589786 MGM589786 MQI589786 NAE589786 NKA589786 NTW589786 ODS589786 ONO589786 OXK589786 PHG589786 PRC589786 QAY589786 QKU589786 QUQ589786 REM589786 ROI589786 RYE589786 SIA589786 SRW589786 TBS589786 TLO589786 TVK589786 UFG589786 UPC589786 UYY589786 VIU589786 VSQ589786 WCM589786 WMI589786 WWE589786 JS655322 TO655322 ADK655322 ANG655322 AXC655322 BGY655322 BQU655322 CAQ655322 CKM655322 CUI655322 DEE655322 DOA655322 DXW655322 EHS655322 ERO655322 FBK655322 FLG655322 FVC655322 GEY655322 GOU655322 GYQ655322 HIM655322 HSI655322 ICE655322 IMA655322 IVW655322 JFS655322 JPO655322 JZK655322 KJG655322 KTC655322 LCY655322 LMU655322 LWQ655322 MGM655322 MQI655322 NAE655322 NKA655322 NTW655322 ODS655322 ONO655322 OXK655322 PHG655322 PRC655322 QAY655322 QKU655322 QUQ655322 REM655322 ROI655322 RYE655322 SIA655322 SRW655322 TBS655322 TLO655322 TVK655322 UFG655322 UPC655322 UYY655322 VIU655322 VSQ655322 WCM655322 WMI655322 WWE655322 JS720858 TO720858 ADK720858 ANG720858 AXC720858 BGY720858 BQU720858 CAQ720858 CKM720858 CUI720858 DEE720858 DOA720858 DXW720858 EHS720858 ERO720858 FBK720858 FLG720858 FVC720858 GEY720858 GOU720858 GYQ720858 HIM720858 HSI720858 ICE720858 IMA720858 IVW720858 JFS720858 JPO720858 JZK720858 KJG720858 KTC720858 LCY720858 LMU720858 LWQ720858 MGM720858 MQI720858 NAE720858 NKA720858 NTW720858 ODS720858 ONO720858 OXK720858 PHG720858 PRC720858 QAY720858 QKU720858 QUQ720858 REM720858 ROI720858 RYE720858 SIA720858 SRW720858 TBS720858 TLO720858 TVK720858 UFG720858 UPC720858 UYY720858 VIU720858 VSQ720858 WCM720858 WMI720858 WWE720858 JS786394 TO786394 ADK786394 ANG786394 AXC786394 BGY786394 BQU786394 CAQ786394 CKM786394 CUI786394 DEE786394 DOA786394 DXW786394 EHS786394 ERO786394 FBK786394 FLG786394 FVC786394 GEY786394 GOU786394 GYQ786394 HIM786394 HSI786394 ICE786394 IMA786394 IVW786394 JFS786394 JPO786394 JZK786394 KJG786394 KTC786394 LCY786394 LMU786394 LWQ786394 MGM786394 MQI786394 NAE786394 NKA786394 NTW786394 ODS786394 ONO786394 OXK786394 PHG786394 PRC786394 QAY786394 QKU786394 QUQ786394 REM786394 ROI786394 RYE786394 SIA786394 SRW786394 TBS786394 TLO786394 TVK786394 UFG786394 UPC786394 UYY786394 VIU786394 VSQ786394 WCM786394 WMI786394 WWE786394 JS851930 TO851930 ADK851930 ANG851930 AXC851930 BGY851930 BQU851930 CAQ851930 CKM851930 CUI851930 DEE851930 DOA851930 DXW851930 EHS851930 ERO851930 FBK851930 FLG851930 FVC851930 GEY851930 GOU851930 GYQ851930 HIM851930 HSI851930 ICE851930 IMA851930 IVW851930 JFS851930 JPO851930 JZK851930 KJG851930 KTC851930 LCY851930 LMU851930 LWQ851930 MGM851930 MQI851930 NAE851930 NKA851930 NTW851930 ODS851930 ONO851930 OXK851930 PHG851930 PRC851930 QAY851930 QKU851930 QUQ851930 REM851930 ROI851930 RYE851930 SIA851930 SRW851930 TBS851930 TLO851930 TVK851930 UFG851930 UPC851930 UYY851930 VIU851930 VSQ851930 WCM851930 WMI851930 WWE851930 JS917466 TO917466 ADK917466 ANG917466 AXC917466 BGY917466 BQU917466 CAQ917466 CKM917466 CUI917466 DEE917466 DOA917466 DXW917466 EHS917466 ERO917466 FBK917466 FLG917466 FVC917466 GEY917466 GOU917466 GYQ917466 HIM917466 HSI917466 ICE917466 IMA917466 IVW917466 JFS917466 JPO917466 JZK917466 KJG917466 KTC917466 LCY917466 LMU917466 LWQ917466 MGM917466 MQI917466 NAE917466 NKA917466 NTW917466 ODS917466 ONO917466 OXK917466 PHG917466 PRC917466 QAY917466 QKU917466 QUQ917466 REM917466 ROI917466 RYE917466 SIA917466 SRW917466 TBS917466 TLO917466 TVK917466 UFG917466 UPC917466 UYY917466 VIU917466 VSQ917466 WCM917466 WMI917466 WWE917466 JS983002 TO983002 ADK983002 ANG983002 AXC983002 BGY983002 BQU983002 CAQ983002 CKM983002 CUI983002 DEE983002 DOA983002 DXW983002 EHS983002 ERO983002 FBK983002 FLG983002 FVC983002 GEY983002 GOU983002 GYQ983002 HIM983002 HSI983002 ICE983002 IMA983002 IVW983002 JFS983002 JPO983002 JZK983002 KJG983002 KTC983002 LCY983002 LMU983002 LWQ983002 MGM983002 MQI983002 NAE983002 NKA983002 NTW983002 ODS983002 ONO983002 OXK983002 PHG983002 PRC983002 QAY983002 QKU983002 QUQ983002 REM983002 ROI983002 RYE983002 SIA983002 SRW983002 TBS983002 TLO983002 TVK983002 UFG983002 UPC983002 UYY983002 VIU983002 VSQ983002 WCM983002 WMI983002 WWE983002"/>
    <dataValidation allowBlank="1" showInputMessage="1" showErrorMessage="1" prompt="53.347901" sqref="JQ65498 TM65498 ADI65498 ANE65498 AXA65498 BGW65498 BQS65498 CAO65498 CKK65498 CUG65498 DEC65498 DNY65498 DXU65498 EHQ65498 ERM65498 FBI65498 FLE65498 FVA65498 GEW65498 GOS65498 GYO65498 HIK65498 HSG65498 ICC65498 ILY65498 IVU65498 JFQ65498 JPM65498 JZI65498 KJE65498 KTA65498 LCW65498 LMS65498 LWO65498 MGK65498 MQG65498 NAC65498 NJY65498 NTU65498 ODQ65498 ONM65498 OXI65498 PHE65498 PRA65498 QAW65498 QKS65498 QUO65498 REK65498 ROG65498 RYC65498 SHY65498 SRU65498 TBQ65498 TLM65498 TVI65498 UFE65498 UPA65498 UYW65498 VIS65498 VSO65498 WCK65498 WMG65498 WWC65498 JQ131034 TM131034 ADI131034 ANE131034 AXA131034 BGW131034 BQS131034 CAO131034 CKK131034 CUG131034 DEC131034 DNY131034 DXU131034 EHQ131034 ERM131034 FBI131034 FLE131034 FVA131034 GEW131034 GOS131034 GYO131034 HIK131034 HSG131034 ICC131034 ILY131034 IVU131034 JFQ131034 JPM131034 JZI131034 KJE131034 KTA131034 LCW131034 LMS131034 LWO131034 MGK131034 MQG131034 NAC131034 NJY131034 NTU131034 ODQ131034 ONM131034 OXI131034 PHE131034 PRA131034 QAW131034 QKS131034 QUO131034 REK131034 ROG131034 RYC131034 SHY131034 SRU131034 TBQ131034 TLM131034 TVI131034 UFE131034 UPA131034 UYW131034 VIS131034 VSO131034 WCK131034 WMG131034 WWC131034 JQ196570 TM196570 ADI196570 ANE196570 AXA196570 BGW196570 BQS196570 CAO196570 CKK196570 CUG196570 DEC196570 DNY196570 DXU196570 EHQ196570 ERM196570 FBI196570 FLE196570 FVA196570 GEW196570 GOS196570 GYO196570 HIK196570 HSG196570 ICC196570 ILY196570 IVU196570 JFQ196570 JPM196570 JZI196570 KJE196570 KTA196570 LCW196570 LMS196570 LWO196570 MGK196570 MQG196570 NAC196570 NJY196570 NTU196570 ODQ196570 ONM196570 OXI196570 PHE196570 PRA196570 QAW196570 QKS196570 QUO196570 REK196570 ROG196570 RYC196570 SHY196570 SRU196570 TBQ196570 TLM196570 TVI196570 UFE196570 UPA196570 UYW196570 VIS196570 VSO196570 WCK196570 WMG196570 WWC196570 JQ262106 TM262106 ADI262106 ANE262106 AXA262106 BGW262106 BQS262106 CAO262106 CKK262106 CUG262106 DEC262106 DNY262106 DXU262106 EHQ262106 ERM262106 FBI262106 FLE262106 FVA262106 GEW262106 GOS262106 GYO262106 HIK262106 HSG262106 ICC262106 ILY262106 IVU262106 JFQ262106 JPM262106 JZI262106 KJE262106 KTA262106 LCW262106 LMS262106 LWO262106 MGK262106 MQG262106 NAC262106 NJY262106 NTU262106 ODQ262106 ONM262106 OXI262106 PHE262106 PRA262106 QAW262106 QKS262106 QUO262106 REK262106 ROG262106 RYC262106 SHY262106 SRU262106 TBQ262106 TLM262106 TVI262106 UFE262106 UPA262106 UYW262106 VIS262106 VSO262106 WCK262106 WMG262106 WWC262106 JQ327642 TM327642 ADI327642 ANE327642 AXA327642 BGW327642 BQS327642 CAO327642 CKK327642 CUG327642 DEC327642 DNY327642 DXU327642 EHQ327642 ERM327642 FBI327642 FLE327642 FVA327642 GEW327642 GOS327642 GYO327642 HIK327642 HSG327642 ICC327642 ILY327642 IVU327642 JFQ327642 JPM327642 JZI327642 KJE327642 KTA327642 LCW327642 LMS327642 LWO327642 MGK327642 MQG327642 NAC327642 NJY327642 NTU327642 ODQ327642 ONM327642 OXI327642 PHE327642 PRA327642 QAW327642 QKS327642 QUO327642 REK327642 ROG327642 RYC327642 SHY327642 SRU327642 TBQ327642 TLM327642 TVI327642 UFE327642 UPA327642 UYW327642 VIS327642 VSO327642 WCK327642 WMG327642 WWC327642 JQ393178 TM393178 ADI393178 ANE393178 AXA393178 BGW393178 BQS393178 CAO393178 CKK393178 CUG393178 DEC393178 DNY393178 DXU393178 EHQ393178 ERM393178 FBI393178 FLE393178 FVA393178 GEW393178 GOS393178 GYO393178 HIK393178 HSG393178 ICC393178 ILY393178 IVU393178 JFQ393178 JPM393178 JZI393178 KJE393178 KTA393178 LCW393178 LMS393178 LWO393178 MGK393178 MQG393178 NAC393178 NJY393178 NTU393178 ODQ393178 ONM393178 OXI393178 PHE393178 PRA393178 QAW393178 QKS393178 QUO393178 REK393178 ROG393178 RYC393178 SHY393178 SRU393178 TBQ393178 TLM393178 TVI393178 UFE393178 UPA393178 UYW393178 VIS393178 VSO393178 WCK393178 WMG393178 WWC393178 JQ458714 TM458714 ADI458714 ANE458714 AXA458714 BGW458714 BQS458714 CAO458714 CKK458714 CUG458714 DEC458714 DNY458714 DXU458714 EHQ458714 ERM458714 FBI458714 FLE458714 FVA458714 GEW458714 GOS458714 GYO458714 HIK458714 HSG458714 ICC458714 ILY458714 IVU458714 JFQ458714 JPM458714 JZI458714 KJE458714 KTA458714 LCW458714 LMS458714 LWO458714 MGK458714 MQG458714 NAC458714 NJY458714 NTU458714 ODQ458714 ONM458714 OXI458714 PHE458714 PRA458714 QAW458714 QKS458714 QUO458714 REK458714 ROG458714 RYC458714 SHY458714 SRU458714 TBQ458714 TLM458714 TVI458714 UFE458714 UPA458714 UYW458714 VIS458714 VSO458714 WCK458714 WMG458714 WWC458714 JQ524250 TM524250 ADI524250 ANE524250 AXA524250 BGW524250 BQS524250 CAO524250 CKK524250 CUG524250 DEC524250 DNY524250 DXU524250 EHQ524250 ERM524250 FBI524250 FLE524250 FVA524250 GEW524250 GOS524250 GYO524250 HIK524250 HSG524250 ICC524250 ILY524250 IVU524250 JFQ524250 JPM524250 JZI524250 KJE524250 KTA524250 LCW524250 LMS524250 LWO524250 MGK524250 MQG524250 NAC524250 NJY524250 NTU524250 ODQ524250 ONM524250 OXI524250 PHE524250 PRA524250 QAW524250 QKS524250 QUO524250 REK524250 ROG524250 RYC524250 SHY524250 SRU524250 TBQ524250 TLM524250 TVI524250 UFE524250 UPA524250 UYW524250 VIS524250 VSO524250 WCK524250 WMG524250 WWC524250 JQ589786 TM589786 ADI589786 ANE589786 AXA589786 BGW589786 BQS589786 CAO589786 CKK589786 CUG589786 DEC589786 DNY589786 DXU589786 EHQ589786 ERM589786 FBI589786 FLE589786 FVA589786 GEW589786 GOS589786 GYO589786 HIK589786 HSG589786 ICC589786 ILY589786 IVU589786 JFQ589786 JPM589786 JZI589786 KJE589786 KTA589786 LCW589786 LMS589786 LWO589786 MGK589786 MQG589786 NAC589786 NJY589786 NTU589786 ODQ589786 ONM589786 OXI589786 PHE589786 PRA589786 QAW589786 QKS589786 QUO589786 REK589786 ROG589786 RYC589786 SHY589786 SRU589786 TBQ589786 TLM589786 TVI589786 UFE589786 UPA589786 UYW589786 VIS589786 VSO589786 WCK589786 WMG589786 WWC589786 JQ655322 TM655322 ADI655322 ANE655322 AXA655322 BGW655322 BQS655322 CAO655322 CKK655322 CUG655322 DEC655322 DNY655322 DXU655322 EHQ655322 ERM655322 FBI655322 FLE655322 FVA655322 GEW655322 GOS655322 GYO655322 HIK655322 HSG655322 ICC655322 ILY655322 IVU655322 JFQ655322 JPM655322 JZI655322 KJE655322 KTA655322 LCW655322 LMS655322 LWO655322 MGK655322 MQG655322 NAC655322 NJY655322 NTU655322 ODQ655322 ONM655322 OXI655322 PHE655322 PRA655322 QAW655322 QKS655322 QUO655322 REK655322 ROG655322 RYC655322 SHY655322 SRU655322 TBQ655322 TLM655322 TVI655322 UFE655322 UPA655322 UYW655322 VIS655322 VSO655322 WCK655322 WMG655322 WWC655322 JQ720858 TM720858 ADI720858 ANE720858 AXA720858 BGW720858 BQS720858 CAO720858 CKK720858 CUG720858 DEC720858 DNY720858 DXU720858 EHQ720858 ERM720858 FBI720858 FLE720858 FVA720858 GEW720858 GOS720858 GYO720858 HIK720858 HSG720858 ICC720858 ILY720858 IVU720858 JFQ720858 JPM720858 JZI720858 KJE720858 KTA720858 LCW720858 LMS720858 LWO720858 MGK720858 MQG720858 NAC720858 NJY720858 NTU720858 ODQ720858 ONM720858 OXI720858 PHE720858 PRA720858 QAW720858 QKS720858 QUO720858 REK720858 ROG720858 RYC720858 SHY720858 SRU720858 TBQ720858 TLM720858 TVI720858 UFE720858 UPA720858 UYW720858 VIS720858 VSO720858 WCK720858 WMG720858 WWC720858 JQ786394 TM786394 ADI786394 ANE786394 AXA786394 BGW786394 BQS786394 CAO786394 CKK786394 CUG786394 DEC786394 DNY786394 DXU786394 EHQ786394 ERM786394 FBI786394 FLE786394 FVA786394 GEW786394 GOS786394 GYO786394 HIK786394 HSG786394 ICC786394 ILY786394 IVU786394 JFQ786394 JPM786394 JZI786394 KJE786394 KTA786394 LCW786394 LMS786394 LWO786394 MGK786394 MQG786394 NAC786394 NJY786394 NTU786394 ODQ786394 ONM786394 OXI786394 PHE786394 PRA786394 QAW786394 QKS786394 QUO786394 REK786394 ROG786394 RYC786394 SHY786394 SRU786394 TBQ786394 TLM786394 TVI786394 UFE786394 UPA786394 UYW786394 VIS786394 VSO786394 WCK786394 WMG786394 WWC786394 JQ851930 TM851930 ADI851930 ANE851930 AXA851930 BGW851930 BQS851930 CAO851930 CKK851930 CUG851930 DEC851930 DNY851930 DXU851930 EHQ851930 ERM851930 FBI851930 FLE851930 FVA851930 GEW851930 GOS851930 GYO851930 HIK851930 HSG851930 ICC851930 ILY851930 IVU851930 JFQ851930 JPM851930 JZI851930 KJE851930 KTA851930 LCW851930 LMS851930 LWO851930 MGK851930 MQG851930 NAC851930 NJY851930 NTU851930 ODQ851930 ONM851930 OXI851930 PHE851930 PRA851930 QAW851930 QKS851930 QUO851930 REK851930 ROG851930 RYC851930 SHY851930 SRU851930 TBQ851930 TLM851930 TVI851930 UFE851930 UPA851930 UYW851930 VIS851930 VSO851930 WCK851930 WMG851930 WWC851930 JQ917466 TM917466 ADI917466 ANE917466 AXA917466 BGW917466 BQS917466 CAO917466 CKK917466 CUG917466 DEC917466 DNY917466 DXU917466 EHQ917466 ERM917466 FBI917466 FLE917466 FVA917466 GEW917466 GOS917466 GYO917466 HIK917466 HSG917466 ICC917466 ILY917466 IVU917466 JFQ917466 JPM917466 JZI917466 KJE917466 KTA917466 LCW917466 LMS917466 LWO917466 MGK917466 MQG917466 NAC917466 NJY917466 NTU917466 ODQ917466 ONM917466 OXI917466 PHE917466 PRA917466 QAW917466 QKS917466 QUO917466 REK917466 ROG917466 RYC917466 SHY917466 SRU917466 TBQ917466 TLM917466 TVI917466 UFE917466 UPA917466 UYW917466 VIS917466 VSO917466 WCK917466 WMG917466 WWC917466 JQ983002 TM983002 ADI983002 ANE983002 AXA983002 BGW983002 BQS983002 CAO983002 CKK983002 CUG983002 DEC983002 DNY983002 DXU983002 EHQ983002 ERM983002 FBI983002 FLE983002 FVA983002 GEW983002 GOS983002 GYO983002 HIK983002 HSG983002 ICC983002 ILY983002 IVU983002 JFQ983002 JPM983002 JZI983002 KJE983002 KTA983002 LCW983002 LMS983002 LWO983002 MGK983002 MQG983002 NAC983002 NJY983002 NTU983002 ODQ983002 ONM983002 OXI983002 PHE983002 PRA983002 QAW983002 QKS983002 QUO983002 REK983002 ROG983002 RYC983002 SHY983002 SRU983002 TBQ983002 TLM983002 TVI983002 UFE983002 UPA983002 UYW983002 VIS983002 VSO983002 WCK983002 WMG983002 WWC983002"/>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
  <sheetViews>
    <sheetView view="pageLayout" zoomScale="80" zoomScaleNormal="100" zoomScalePageLayoutView="80" workbookViewId="0">
      <selection activeCell="B2" sqref="B2"/>
    </sheetView>
  </sheetViews>
  <sheetFormatPr defaultRowHeight="15" customHeight="1" x14ac:dyDescent="0.3"/>
  <cols>
    <col min="1" max="1" width="2.6640625" style="2" customWidth="1"/>
    <col min="2" max="7" width="5.33203125" style="2" customWidth="1"/>
    <col min="8" max="8" width="7.6640625" style="2" customWidth="1"/>
    <col min="9" max="24" width="5.33203125" style="2" customWidth="1"/>
    <col min="25" max="25" width="5.88671875" style="2" customWidth="1"/>
    <col min="26" max="26" width="6" style="2" customWidth="1"/>
    <col min="27" max="27" width="2.6640625" style="2" customWidth="1"/>
    <col min="28" max="29" width="7.6640625" style="2" customWidth="1"/>
    <col min="30" max="30" width="8.44140625" style="2" bestFit="1" customWidth="1"/>
    <col min="31" max="275" width="7.6640625" style="2" customWidth="1"/>
    <col min="276" max="276" width="14.33203125" style="2" customWidth="1"/>
    <col min="277" max="277" width="4" style="2" customWidth="1"/>
    <col min="278" max="278" width="14.33203125" style="2" customWidth="1"/>
    <col min="279" max="279" width="4" style="2" customWidth="1"/>
    <col min="280" max="531" width="7.6640625" style="2" customWidth="1"/>
    <col min="532" max="532" width="14.33203125" style="2" customWidth="1"/>
    <col min="533" max="533" width="4" style="2" customWidth="1"/>
    <col min="534" max="534" width="14.33203125" style="2" customWidth="1"/>
    <col min="535" max="535" width="4" style="2" customWidth="1"/>
    <col min="536" max="787" width="7.6640625" style="2" customWidth="1"/>
    <col min="788" max="788" width="14.33203125" style="2" customWidth="1"/>
    <col min="789" max="789" width="4" style="2" customWidth="1"/>
    <col min="790" max="790" width="14.33203125" style="2" customWidth="1"/>
    <col min="791" max="791" width="4" style="2" customWidth="1"/>
    <col min="792" max="1043" width="7.6640625" style="2" customWidth="1"/>
    <col min="1044" max="1044" width="14.33203125" style="2" customWidth="1"/>
    <col min="1045" max="1045" width="4" style="2" customWidth="1"/>
    <col min="1046" max="1046" width="14.33203125" style="2" customWidth="1"/>
    <col min="1047" max="1047" width="4" style="2" customWidth="1"/>
    <col min="1048" max="1299" width="7.6640625" style="2" customWidth="1"/>
    <col min="1300" max="1300" width="14.33203125" style="2" customWidth="1"/>
    <col min="1301" max="1301" width="4" style="2" customWidth="1"/>
    <col min="1302" max="1302" width="14.33203125" style="2" customWidth="1"/>
    <col min="1303" max="1303" width="4" style="2" customWidth="1"/>
    <col min="1304" max="1555" width="7.6640625" style="2" customWidth="1"/>
    <col min="1556" max="1556" width="14.33203125" style="2" customWidth="1"/>
    <col min="1557" max="1557" width="4" style="2" customWidth="1"/>
    <col min="1558" max="1558" width="14.33203125" style="2" customWidth="1"/>
    <col min="1559" max="1559" width="4" style="2" customWidth="1"/>
    <col min="1560" max="1811" width="7.6640625" style="2" customWidth="1"/>
    <col min="1812" max="1812" width="14.33203125" style="2" customWidth="1"/>
    <col min="1813" max="1813" width="4" style="2" customWidth="1"/>
    <col min="1814" max="1814" width="14.33203125" style="2" customWidth="1"/>
    <col min="1815" max="1815" width="4" style="2" customWidth="1"/>
    <col min="1816" max="2067" width="7.6640625" style="2" customWidth="1"/>
    <col min="2068" max="2068" width="14.33203125" style="2" customWidth="1"/>
    <col min="2069" max="2069" width="4" style="2" customWidth="1"/>
    <col min="2070" max="2070" width="14.33203125" style="2" customWidth="1"/>
    <col min="2071" max="2071" width="4" style="2" customWidth="1"/>
    <col min="2072" max="2323" width="7.6640625" style="2" customWidth="1"/>
    <col min="2324" max="2324" width="14.33203125" style="2" customWidth="1"/>
    <col min="2325" max="2325" width="4" style="2" customWidth="1"/>
    <col min="2326" max="2326" width="14.33203125" style="2" customWidth="1"/>
    <col min="2327" max="2327" width="4" style="2" customWidth="1"/>
    <col min="2328" max="2579" width="7.6640625" style="2" customWidth="1"/>
    <col min="2580" max="2580" width="14.33203125" style="2" customWidth="1"/>
    <col min="2581" max="2581" width="4" style="2" customWidth="1"/>
    <col min="2582" max="2582" width="14.33203125" style="2" customWidth="1"/>
    <col min="2583" max="2583" width="4" style="2" customWidth="1"/>
    <col min="2584" max="2835" width="7.6640625" style="2" customWidth="1"/>
    <col min="2836" max="2836" width="14.33203125" style="2" customWidth="1"/>
    <col min="2837" max="2837" width="4" style="2" customWidth="1"/>
    <col min="2838" max="2838" width="14.33203125" style="2" customWidth="1"/>
    <col min="2839" max="2839" width="4" style="2" customWidth="1"/>
    <col min="2840" max="3091" width="7.6640625" style="2" customWidth="1"/>
    <col min="3092" max="3092" width="14.33203125" style="2" customWidth="1"/>
    <col min="3093" max="3093" width="4" style="2" customWidth="1"/>
    <col min="3094" max="3094" width="14.33203125" style="2" customWidth="1"/>
    <col min="3095" max="3095" width="4" style="2" customWidth="1"/>
    <col min="3096" max="3347" width="7.6640625" style="2" customWidth="1"/>
    <col min="3348" max="3348" width="14.33203125" style="2" customWidth="1"/>
    <col min="3349" max="3349" width="4" style="2" customWidth="1"/>
    <col min="3350" max="3350" width="14.33203125" style="2" customWidth="1"/>
    <col min="3351" max="3351" width="4" style="2" customWidth="1"/>
    <col min="3352" max="3603" width="7.6640625" style="2" customWidth="1"/>
    <col min="3604" max="3604" width="14.33203125" style="2" customWidth="1"/>
    <col min="3605" max="3605" width="4" style="2" customWidth="1"/>
    <col min="3606" max="3606" width="14.33203125" style="2" customWidth="1"/>
    <col min="3607" max="3607" width="4" style="2" customWidth="1"/>
    <col min="3608" max="3859" width="7.6640625" style="2" customWidth="1"/>
    <col min="3860" max="3860" width="14.33203125" style="2" customWidth="1"/>
    <col min="3861" max="3861" width="4" style="2" customWidth="1"/>
    <col min="3862" max="3862" width="14.33203125" style="2" customWidth="1"/>
    <col min="3863" max="3863" width="4" style="2" customWidth="1"/>
    <col min="3864" max="4115" width="7.6640625" style="2" customWidth="1"/>
    <col min="4116" max="4116" width="14.33203125" style="2" customWidth="1"/>
    <col min="4117" max="4117" width="4" style="2" customWidth="1"/>
    <col min="4118" max="4118" width="14.33203125" style="2" customWidth="1"/>
    <col min="4119" max="4119" width="4" style="2" customWidth="1"/>
    <col min="4120" max="4371" width="7.6640625" style="2" customWidth="1"/>
    <col min="4372" max="4372" width="14.33203125" style="2" customWidth="1"/>
    <col min="4373" max="4373" width="4" style="2" customWidth="1"/>
    <col min="4374" max="4374" width="14.33203125" style="2" customWidth="1"/>
    <col min="4375" max="4375" width="4" style="2" customWidth="1"/>
    <col min="4376" max="4627" width="7.6640625" style="2" customWidth="1"/>
    <col min="4628" max="4628" width="14.33203125" style="2" customWidth="1"/>
    <col min="4629" max="4629" width="4" style="2" customWidth="1"/>
    <col min="4630" max="4630" width="14.33203125" style="2" customWidth="1"/>
    <col min="4631" max="4631" width="4" style="2" customWidth="1"/>
    <col min="4632" max="4883" width="7.6640625" style="2" customWidth="1"/>
    <col min="4884" max="4884" width="14.33203125" style="2" customWidth="1"/>
    <col min="4885" max="4885" width="4" style="2" customWidth="1"/>
    <col min="4886" max="4886" width="14.33203125" style="2" customWidth="1"/>
    <col min="4887" max="4887" width="4" style="2" customWidth="1"/>
    <col min="4888" max="5139" width="7.6640625" style="2" customWidth="1"/>
    <col min="5140" max="5140" width="14.33203125" style="2" customWidth="1"/>
    <col min="5141" max="5141" width="4" style="2" customWidth="1"/>
    <col min="5142" max="5142" width="14.33203125" style="2" customWidth="1"/>
    <col min="5143" max="5143" width="4" style="2" customWidth="1"/>
    <col min="5144" max="5395" width="7.6640625" style="2" customWidth="1"/>
    <col min="5396" max="5396" width="14.33203125" style="2" customWidth="1"/>
    <col min="5397" max="5397" width="4" style="2" customWidth="1"/>
    <col min="5398" max="5398" width="14.33203125" style="2" customWidth="1"/>
    <col min="5399" max="5399" width="4" style="2" customWidth="1"/>
    <col min="5400" max="5651" width="7.6640625" style="2" customWidth="1"/>
    <col min="5652" max="5652" width="14.33203125" style="2" customWidth="1"/>
    <col min="5653" max="5653" width="4" style="2" customWidth="1"/>
    <col min="5654" max="5654" width="14.33203125" style="2" customWidth="1"/>
    <col min="5655" max="5655" width="4" style="2" customWidth="1"/>
    <col min="5656" max="5907" width="7.6640625" style="2" customWidth="1"/>
    <col min="5908" max="5908" width="14.33203125" style="2" customWidth="1"/>
    <col min="5909" max="5909" width="4" style="2" customWidth="1"/>
    <col min="5910" max="5910" width="14.33203125" style="2" customWidth="1"/>
    <col min="5911" max="5911" width="4" style="2" customWidth="1"/>
    <col min="5912" max="6163" width="7.6640625" style="2" customWidth="1"/>
    <col min="6164" max="6164" width="14.33203125" style="2" customWidth="1"/>
    <col min="6165" max="6165" width="4" style="2" customWidth="1"/>
    <col min="6166" max="6166" width="14.33203125" style="2" customWidth="1"/>
    <col min="6167" max="6167" width="4" style="2" customWidth="1"/>
    <col min="6168" max="6419" width="7.6640625" style="2" customWidth="1"/>
    <col min="6420" max="6420" width="14.33203125" style="2" customWidth="1"/>
    <col min="6421" max="6421" width="4" style="2" customWidth="1"/>
    <col min="6422" max="6422" width="14.33203125" style="2" customWidth="1"/>
    <col min="6423" max="6423" width="4" style="2" customWidth="1"/>
    <col min="6424" max="6675" width="7.6640625" style="2" customWidth="1"/>
    <col min="6676" max="6676" width="14.33203125" style="2" customWidth="1"/>
    <col min="6677" max="6677" width="4" style="2" customWidth="1"/>
    <col min="6678" max="6678" width="14.33203125" style="2" customWidth="1"/>
    <col min="6679" max="6679" width="4" style="2" customWidth="1"/>
    <col min="6680" max="6931" width="7.6640625" style="2" customWidth="1"/>
    <col min="6932" max="6932" width="14.33203125" style="2" customWidth="1"/>
    <col min="6933" max="6933" width="4" style="2" customWidth="1"/>
    <col min="6934" max="6934" width="14.33203125" style="2" customWidth="1"/>
    <col min="6935" max="6935" width="4" style="2" customWidth="1"/>
    <col min="6936" max="7187" width="7.6640625" style="2" customWidth="1"/>
    <col min="7188" max="7188" width="14.33203125" style="2" customWidth="1"/>
    <col min="7189" max="7189" width="4" style="2" customWidth="1"/>
    <col min="7190" max="7190" width="14.33203125" style="2" customWidth="1"/>
    <col min="7191" max="7191" width="4" style="2" customWidth="1"/>
    <col min="7192" max="7443" width="7.6640625" style="2" customWidth="1"/>
    <col min="7444" max="7444" width="14.33203125" style="2" customWidth="1"/>
    <col min="7445" max="7445" width="4" style="2" customWidth="1"/>
    <col min="7446" max="7446" width="14.33203125" style="2" customWidth="1"/>
    <col min="7447" max="7447" width="4" style="2" customWidth="1"/>
    <col min="7448" max="7699" width="7.6640625" style="2" customWidth="1"/>
    <col min="7700" max="7700" width="14.33203125" style="2" customWidth="1"/>
    <col min="7701" max="7701" width="4" style="2" customWidth="1"/>
    <col min="7702" max="7702" width="14.33203125" style="2" customWidth="1"/>
    <col min="7703" max="7703" width="4" style="2" customWidth="1"/>
    <col min="7704" max="7955" width="7.6640625" style="2" customWidth="1"/>
    <col min="7956" max="7956" width="14.33203125" style="2" customWidth="1"/>
    <col min="7957" max="7957" width="4" style="2" customWidth="1"/>
    <col min="7958" max="7958" width="14.33203125" style="2" customWidth="1"/>
    <col min="7959" max="7959" width="4" style="2" customWidth="1"/>
    <col min="7960" max="8211" width="7.6640625" style="2" customWidth="1"/>
    <col min="8212" max="8212" width="14.33203125" style="2" customWidth="1"/>
    <col min="8213" max="8213" width="4" style="2" customWidth="1"/>
    <col min="8214" max="8214" width="14.33203125" style="2" customWidth="1"/>
    <col min="8215" max="8215" width="4" style="2" customWidth="1"/>
    <col min="8216" max="8467" width="7.6640625" style="2" customWidth="1"/>
    <col min="8468" max="8468" width="14.33203125" style="2" customWidth="1"/>
    <col min="8469" max="8469" width="4" style="2" customWidth="1"/>
    <col min="8470" max="8470" width="14.33203125" style="2" customWidth="1"/>
    <col min="8471" max="8471" width="4" style="2" customWidth="1"/>
    <col min="8472" max="8723" width="7.6640625" style="2" customWidth="1"/>
    <col min="8724" max="8724" width="14.33203125" style="2" customWidth="1"/>
    <col min="8725" max="8725" width="4" style="2" customWidth="1"/>
    <col min="8726" max="8726" width="14.33203125" style="2" customWidth="1"/>
    <col min="8727" max="8727" width="4" style="2" customWidth="1"/>
    <col min="8728" max="8979" width="7.6640625" style="2" customWidth="1"/>
    <col min="8980" max="8980" width="14.33203125" style="2" customWidth="1"/>
    <col min="8981" max="8981" width="4" style="2" customWidth="1"/>
    <col min="8982" max="8982" width="14.33203125" style="2" customWidth="1"/>
    <col min="8983" max="8983" width="4" style="2" customWidth="1"/>
    <col min="8984" max="9235" width="7.6640625" style="2" customWidth="1"/>
    <col min="9236" max="9236" width="14.33203125" style="2" customWidth="1"/>
    <col min="9237" max="9237" width="4" style="2" customWidth="1"/>
    <col min="9238" max="9238" width="14.33203125" style="2" customWidth="1"/>
    <col min="9239" max="9239" width="4" style="2" customWidth="1"/>
    <col min="9240" max="9491" width="7.6640625" style="2" customWidth="1"/>
    <col min="9492" max="9492" width="14.33203125" style="2" customWidth="1"/>
    <col min="9493" max="9493" width="4" style="2" customWidth="1"/>
    <col min="9494" max="9494" width="14.33203125" style="2" customWidth="1"/>
    <col min="9495" max="9495" width="4" style="2" customWidth="1"/>
    <col min="9496" max="9747" width="7.6640625" style="2" customWidth="1"/>
    <col min="9748" max="9748" width="14.33203125" style="2" customWidth="1"/>
    <col min="9749" max="9749" width="4" style="2" customWidth="1"/>
    <col min="9750" max="9750" width="14.33203125" style="2" customWidth="1"/>
    <col min="9751" max="9751" width="4" style="2" customWidth="1"/>
    <col min="9752" max="10003" width="7.6640625" style="2" customWidth="1"/>
    <col min="10004" max="10004" width="14.33203125" style="2" customWidth="1"/>
    <col min="10005" max="10005" width="4" style="2" customWidth="1"/>
    <col min="10006" max="10006" width="14.33203125" style="2" customWidth="1"/>
    <col min="10007" max="10007" width="4" style="2" customWidth="1"/>
    <col min="10008" max="10259" width="7.6640625" style="2" customWidth="1"/>
    <col min="10260" max="10260" width="14.33203125" style="2" customWidth="1"/>
    <col min="10261" max="10261" width="4" style="2" customWidth="1"/>
    <col min="10262" max="10262" width="14.33203125" style="2" customWidth="1"/>
    <col min="10263" max="10263" width="4" style="2" customWidth="1"/>
    <col min="10264" max="10515" width="7.6640625" style="2" customWidth="1"/>
    <col min="10516" max="10516" width="14.33203125" style="2" customWidth="1"/>
    <col min="10517" max="10517" width="4" style="2" customWidth="1"/>
    <col min="10518" max="10518" width="14.33203125" style="2" customWidth="1"/>
    <col min="10519" max="10519" width="4" style="2" customWidth="1"/>
    <col min="10520" max="10771" width="7.6640625" style="2" customWidth="1"/>
    <col min="10772" max="10772" width="14.33203125" style="2" customWidth="1"/>
    <col min="10773" max="10773" width="4" style="2" customWidth="1"/>
    <col min="10774" max="10774" width="14.33203125" style="2" customWidth="1"/>
    <col min="10775" max="10775" width="4" style="2" customWidth="1"/>
    <col min="10776" max="11027" width="7.6640625" style="2" customWidth="1"/>
    <col min="11028" max="11028" width="14.33203125" style="2" customWidth="1"/>
    <col min="11029" max="11029" width="4" style="2" customWidth="1"/>
    <col min="11030" max="11030" width="14.33203125" style="2" customWidth="1"/>
    <col min="11031" max="11031" width="4" style="2" customWidth="1"/>
    <col min="11032" max="11283" width="7.6640625" style="2" customWidth="1"/>
    <col min="11284" max="11284" width="14.33203125" style="2" customWidth="1"/>
    <col min="11285" max="11285" width="4" style="2" customWidth="1"/>
    <col min="11286" max="11286" width="14.33203125" style="2" customWidth="1"/>
    <col min="11287" max="11287" width="4" style="2" customWidth="1"/>
    <col min="11288" max="11539" width="7.6640625" style="2" customWidth="1"/>
    <col min="11540" max="11540" width="14.33203125" style="2" customWidth="1"/>
    <col min="11541" max="11541" width="4" style="2" customWidth="1"/>
    <col min="11542" max="11542" width="14.33203125" style="2" customWidth="1"/>
    <col min="11543" max="11543" width="4" style="2" customWidth="1"/>
    <col min="11544" max="11795" width="7.6640625" style="2" customWidth="1"/>
    <col min="11796" max="11796" width="14.33203125" style="2" customWidth="1"/>
    <col min="11797" max="11797" width="4" style="2" customWidth="1"/>
    <col min="11798" max="11798" width="14.33203125" style="2" customWidth="1"/>
    <col min="11799" max="11799" width="4" style="2" customWidth="1"/>
    <col min="11800" max="12051" width="7.6640625" style="2" customWidth="1"/>
    <col min="12052" max="12052" width="14.33203125" style="2" customWidth="1"/>
    <col min="12053" max="12053" width="4" style="2" customWidth="1"/>
    <col min="12054" max="12054" width="14.33203125" style="2" customWidth="1"/>
    <col min="12055" max="12055" width="4" style="2" customWidth="1"/>
    <col min="12056" max="12307" width="7.6640625" style="2" customWidth="1"/>
    <col min="12308" max="12308" width="14.33203125" style="2" customWidth="1"/>
    <col min="12309" max="12309" width="4" style="2" customWidth="1"/>
    <col min="12310" max="12310" width="14.33203125" style="2" customWidth="1"/>
    <col min="12311" max="12311" width="4" style="2" customWidth="1"/>
    <col min="12312" max="12563" width="7.6640625" style="2" customWidth="1"/>
    <col min="12564" max="12564" width="14.33203125" style="2" customWidth="1"/>
    <col min="12565" max="12565" width="4" style="2" customWidth="1"/>
    <col min="12566" max="12566" width="14.33203125" style="2" customWidth="1"/>
    <col min="12567" max="12567" width="4" style="2" customWidth="1"/>
    <col min="12568" max="12819" width="7.6640625" style="2" customWidth="1"/>
    <col min="12820" max="12820" width="14.33203125" style="2" customWidth="1"/>
    <col min="12821" max="12821" width="4" style="2" customWidth="1"/>
    <col min="12822" max="12822" width="14.33203125" style="2" customWidth="1"/>
    <col min="12823" max="12823" width="4" style="2" customWidth="1"/>
    <col min="12824" max="13075" width="7.6640625" style="2" customWidth="1"/>
    <col min="13076" max="13076" width="14.33203125" style="2" customWidth="1"/>
    <col min="13077" max="13077" width="4" style="2" customWidth="1"/>
    <col min="13078" max="13078" width="14.33203125" style="2" customWidth="1"/>
    <col min="13079" max="13079" width="4" style="2" customWidth="1"/>
    <col min="13080" max="13331" width="7.6640625" style="2" customWidth="1"/>
    <col min="13332" max="13332" width="14.33203125" style="2" customWidth="1"/>
    <col min="13333" max="13333" width="4" style="2" customWidth="1"/>
    <col min="13334" max="13334" width="14.33203125" style="2" customWidth="1"/>
    <col min="13335" max="13335" width="4" style="2" customWidth="1"/>
    <col min="13336" max="13587" width="7.6640625" style="2" customWidth="1"/>
    <col min="13588" max="13588" width="14.33203125" style="2" customWidth="1"/>
    <col min="13589" max="13589" width="4" style="2" customWidth="1"/>
    <col min="13590" max="13590" width="14.33203125" style="2" customWidth="1"/>
    <col min="13591" max="13591" width="4" style="2" customWidth="1"/>
    <col min="13592" max="13843" width="7.6640625" style="2" customWidth="1"/>
    <col min="13844" max="13844" width="14.33203125" style="2" customWidth="1"/>
    <col min="13845" max="13845" width="4" style="2" customWidth="1"/>
    <col min="13846" max="13846" width="14.33203125" style="2" customWidth="1"/>
    <col min="13847" max="13847" width="4" style="2" customWidth="1"/>
    <col min="13848" max="14099" width="7.6640625" style="2" customWidth="1"/>
    <col min="14100" max="14100" width="14.33203125" style="2" customWidth="1"/>
    <col min="14101" max="14101" width="4" style="2" customWidth="1"/>
    <col min="14102" max="14102" width="14.33203125" style="2" customWidth="1"/>
    <col min="14103" max="14103" width="4" style="2" customWidth="1"/>
    <col min="14104" max="14355" width="7.6640625" style="2" customWidth="1"/>
    <col min="14356" max="14356" width="14.33203125" style="2" customWidth="1"/>
    <col min="14357" max="14357" width="4" style="2" customWidth="1"/>
    <col min="14358" max="14358" width="14.33203125" style="2" customWidth="1"/>
    <col min="14359" max="14359" width="4" style="2" customWidth="1"/>
    <col min="14360" max="14611" width="7.6640625" style="2" customWidth="1"/>
    <col min="14612" max="14612" width="14.33203125" style="2" customWidth="1"/>
    <col min="14613" max="14613" width="4" style="2" customWidth="1"/>
    <col min="14614" max="14614" width="14.33203125" style="2" customWidth="1"/>
    <col min="14615" max="14615" width="4" style="2" customWidth="1"/>
    <col min="14616" max="14867" width="7.6640625" style="2" customWidth="1"/>
    <col min="14868" max="14868" width="14.33203125" style="2" customWidth="1"/>
    <col min="14869" max="14869" width="4" style="2" customWidth="1"/>
    <col min="14870" max="14870" width="14.33203125" style="2" customWidth="1"/>
    <col min="14871" max="14871" width="4" style="2" customWidth="1"/>
    <col min="14872" max="15123" width="7.6640625" style="2" customWidth="1"/>
    <col min="15124" max="15124" width="14.33203125" style="2" customWidth="1"/>
    <col min="15125" max="15125" width="4" style="2" customWidth="1"/>
    <col min="15126" max="15126" width="14.33203125" style="2" customWidth="1"/>
    <col min="15127" max="15127" width="4" style="2" customWidth="1"/>
    <col min="15128" max="15379" width="7.6640625" style="2" customWidth="1"/>
    <col min="15380" max="15380" width="14.33203125" style="2" customWidth="1"/>
    <col min="15381" max="15381" width="4" style="2" customWidth="1"/>
    <col min="15382" max="15382" width="14.33203125" style="2" customWidth="1"/>
    <col min="15383" max="15383" width="4" style="2" customWidth="1"/>
    <col min="15384" max="15635" width="7.6640625" style="2" customWidth="1"/>
    <col min="15636" max="15636" width="14.33203125" style="2" customWidth="1"/>
    <col min="15637" max="15637" width="4" style="2" customWidth="1"/>
    <col min="15638" max="15638" width="14.33203125" style="2" customWidth="1"/>
    <col min="15639" max="15639" width="4" style="2" customWidth="1"/>
    <col min="15640" max="15891" width="7.6640625" style="2" customWidth="1"/>
    <col min="15892" max="15892" width="14.33203125" style="2" customWidth="1"/>
    <col min="15893" max="15893" width="4" style="2" customWidth="1"/>
    <col min="15894" max="15894" width="14.33203125" style="2" customWidth="1"/>
    <col min="15895" max="15895" width="4" style="2" customWidth="1"/>
    <col min="15896" max="16147" width="7.6640625" style="2" customWidth="1"/>
    <col min="16148" max="16148" width="14.33203125" style="2" customWidth="1"/>
    <col min="16149" max="16149" width="4" style="2" customWidth="1"/>
    <col min="16150" max="16150" width="14.33203125" style="2" customWidth="1"/>
    <col min="16151" max="16151" width="4" style="2" customWidth="1"/>
    <col min="16152" max="16384" width="7.6640625" style="2" customWidth="1"/>
  </cols>
  <sheetData>
    <row r="1" spans="1:27" ht="15" customHeight="1" x14ac:dyDescent="0.3">
      <c r="A1" s="85"/>
      <c r="B1" s="86"/>
      <c r="C1" s="86"/>
      <c r="D1" s="86"/>
      <c r="E1" s="86"/>
      <c r="F1" s="1"/>
      <c r="G1" s="1"/>
      <c r="H1" s="1"/>
      <c r="I1" s="1"/>
      <c r="J1" s="1"/>
      <c r="K1" s="1"/>
      <c r="L1" s="1"/>
      <c r="M1" s="1"/>
      <c r="N1" s="1"/>
      <c r="O1" s="1"/>
      <c r="P1" s="1"/>
      <c r="Q1" s="1"/>
      <c r="R1" s="1"/>
      <c r="S1" s="1"/>
      <c r="T1" s="1"/>
      <c r="U1" s="1"/>
      <c r="V1" s="1"/>
      <c r="W1" s="1"/>
      <c r="X1" s="1"/>
      <c r="Y1" s="1"/>
      <c r="Z1" s="85"/>
      <c r="AA1" s="1"/>
    </row>
    <row r="2" spans="1:27" ht="15" customHeight="1" x14ac:dyDescent="0.3">
      <c r="A2" s="3"/>
      <c r="B2" s="589" t="s">
        <v>140</v>
      </c>
      <c r="C2" s="10"/>
      <c r="D2" s="10"/>
      <c r="E2" s="10"/>
      <c r="F2" s="3"/>
      <c r="G2" s="3"/>
      <c r="H2" s="3"/>
      <c r="I2" s="3"/>
      <c r="J2" s="3"/>
      <c r="K2" s="3"/>
      <c r="L2" s="3"/>
      <c r="M2" s="3"/>
      <c r="N2" s="3"/>
      <c r="O2" s="3"/>
      <c r="P2" s="3"/>
      <c r="Q2" s="3"/>
      <c r="R2" s="3"/>
      <c r="S2" s="3"/>
      <c r="T2" s="3"/>
      <c r="U2" s="3"/>
      <c r="V2" s="3"/>
      <c r="W2" s="3"/>
      <c r="X2" s="3"/>
      <c r="Y2" s="3"/>
      <c r="Z2" s="3"/>
      <c r="AA2" s="79"/>
    </row>
    <row r="3" spans="1:27" ht="15" customHeight="1" x14ac:dyDescent="0.3">
      <c r="A3" s="3"/>
      <c r="B3" s="615" t="s">
        <v>491</v>
      </c>
      <c r="C3" s="3"/>
      <c r="D3" s="3"/>
      <c r="E3" s="3"/>
      <c r="F3" s="3"/>
      <c r="G3" s="3"/>
      <c r="H3" s="3"/>
      <c r="I3" s="3"/>
      <c r="J3" s="3"/>
      <c r="K3" s="3"/>
      <c r="L3" s="3"/>
      <c r="M3" s="3"/>
      <c r="N3" s="3"/>
      <c r="O3" s="3"/>
      <c r="P3" s="3"/>
      <c r="Q3" s="3"/>
      <c r="R3" s="3"/>
      <c r="S3" s="3"/>
      <c r="T3" s="3"/>
      <c r="U3" s="3"/>
      <c r="V3" s="3"/>
      <c r="W3" s="3"/>
      <c r="X3" s="3"/>
      <c r="Y3" s="3"/>
      <c r="Z3" s="3"/>
      <c r="AA3" s="79"/>
    </row>
    <row r="4" spans="1:27" ht="15" customHeight="1" x14ac:dyDescent="0.3">
      <c r="A4" s="3"/>
      <c r="B4" s="594" t="str">
        <f>Overview!$B$7</f>
        <v>Grove Park Drive</v>
      </c>
      <c r="C4" s="3"/>
      <c r="D4" s="3"/>
      <c r="E4" s="3"/>
      <c r="F4" s="3"/>
      <c r="G4" s="3"/>
      <c r="H4" s="3"/>
      <c r="I4" s="3"/>
      <c r="J4" s="3"/>
      <c r="K4" s="3"/>
      <c r="L4" s="3"/>
      <c r="M4" s="3"/>
      <c r="N4" s="3"/>
      <c r="O4" s="3"/>
      <c r="P4" s="3"/>
      <c r="Q4" s="3"/>
      <c r="R4" s="3"/>
      <c r="S4" s="3"/>
      <c r="T4" s="3"/>
      <c r="U4" s="3"/>
      <c r="V4" s="3"/>
      <c r="W4" s="3"/>
      <c r="X4" s="3"/>
      <c r="Y4" s="3"/>
      <c r="Z4" s="3"/>
      <c r="AA4" s="79"/>
    </row>
    <row r="5" spans="1:27" ht="15" customHeight="1" x14ac:dyDescent="0.3">
      <c r="A5" s="3"/>
      <c r="B5" s="12"/>
      <c r="C5" s="3"/>
      <c r="D5" s="3"/>
      <c r="E5" s="3"/>
      <c r="F5" s="3"/>
      <c r="G5" s="3"/>
      <c r="H5" s="3"/>
      <c r="I5" s="3"/>
      <c r="J5" s="3"/>
      <c r="K5" s="3"/>
      <c r="L5" s="3"/>
      <c r="M5" s="3"/>
      <c r="N5" s="3"/>
      <c r="O5" s="3"/>
      <c r="P5" s="3"/>
      <c r="Q5" s="3"/>
      <c r="R5" s="3"/>
      <c r="S5" s="3"/>
      <c r="T5" s="3"/>
      <c r="U5" s="3"/>
      <c r="V5" s="3"/>
      <c r="W5" s="3"/>
      <c r="X5" s="3"/>
      <c r="Y5" s="3"/>
      <c r="Z5" s="3"/>
      <c r="AA5" s="79"/>
    </row>
    <row r="6" spans="1:27" ht="15" customHeight="1" thickBot="1" x14ac:dyDescent="0.35">
      <c r="A6" s="3"/>
      <c r="C6" s="26" t="s">
        <v>42</v>
      </c>
      <c r="D6" s="3"/>
      <c r="E6" s="3"/>
      <c r="F6" s="3"/>
      <c r="G6" s="3"/>
      <c r="H6" s="3"/>
      <c r="I6" s="3"/>
      <c r="J6" s="3"/>
      <c r="K6" s="3"/>
      <c r="L6" s="3"/>
      <c r="M6" s="3"/>
      <c r="N6" s="3"/>
      <c r="O6" s="3"/>
      <c r="P6" s="3"/>
      <c r="Q6" s="3"/>
      <c r="R6" s="3"/>
      <c r="S6" s="3"/>
      <c r="T6" s="3"/>
      <c r="U6" s="3"/>
      <c r="V6" s="3"/>
      <c r="W6" s="3"/>
      <c r="X6" s="3"/>
      <c r="Y6" s="3"/>
      <c r="Z6" s="3"/>
      <c r="AA6" s="79"/>
    </row>
    <row r="7" spans="1:27" ht="15" customHeight="1" x14ac:dyDescent="0.3">
      <c r="A7" s="3"/>
      <c r="B7" s="14"/>
      <c r="C7" s="1241" t="s">
        <v>37</v>
      </c>
      <c r="D7" s="1242"/>
      <c r="E7" s="1242"/>
      <c r="F7" s="1242"/>
      <c r="G7" s="1242"/>
      <c r="H7" s="1242"/>
      <c r="I7" s="1242"/>
      <c r="J7" s="1242"/>
      <c r="K7" s="1242"/>
      <c r="L7" s="1243"/>
      <c r="M7" s="1235" t="s">
        <v>83</v>
      </c>
      <c r="N7" s="1235"/>
      <c r="O7" s="1331"/>
      <c r="P7" s="1330"/>
      <c r="Q7" s="1330"/>
      <c r="R7" s="1330"/>
      <c r="S7" s="1330"/>
      <c r="T7" s="1330"/>
      <c r="U7" s="1330"/>
      <c r="V7" s="1330"/>
      <c r="W7" s="1330"/>
      <c r="X7" s="1330"/>
      <c r="Y7" s="1330"/>
      <c r="Z7" s="1330"/>
      <c r="AA7" s="79"/>
    </row>
    <row r="8" spans="1:27" ht="15" customHeight="1" thickBot="1" x14ac:dyDescent="0.35">
      <c r="A8" s="3"/>
      <c r="B8" s="3"/>
      <c r="C8" s="1244"/>
      <c r="D8" s="1245"/>
      <c r="E8" s="1245"/>
      <c r="F8" s="1245"/>
      <c r="G8" s="1245"/>
      <c r="H8" s="1245"/>
      <c r="I8" s="1245"/>
      <c r="J8" s="1245"/>
      <c r="K8" s="1245"/>
      <c r="L8" s="1246"/>
      <c r="M8" s="1237"/>
      <c r="N8" s="1237"/>
      <c r="O8" s="1332"/>
      <c r="P8" s="1330"/>
      <c r="Q8" s="1330"/>
      <c r="R8" s="1330"/>
      <c r="S8" s="1330"/>
      <c r="T8" s="1330"/>
      <c r="U8" s="1330"/>
      <c r="V8" s="1330"/>
      <c r="W8" s="1330"/>
      <c r="X8" s="1330"/>
      <c r="Y8" s="1330"/>
      <c r="Z8" s="1330"/>
      <c r="AA8" s="79"/>
    </row>
    <row r="9" spans="1:27" ht="15" customHeight="1" x14ac:dyDescent="0.3">
      <c r="A9" s="3"/>
      <c r="B9" s="3"/>
      <c r="C9" s="1247" t="s">
        <v>77</v>
      </c>
      <c r="D9" s="1248"/>
      <c r="E9" s="1248"/>
      <c r="F9" s="1248"/>
      <c r="G9" s="1248"/>
      <c r="H9" s="1248"/>
      <c r="I9" s="1248"/>
      <c r="J9" s="1248"/>
      <c r="K9" s="1248"/>
      <c r="L9" s="1249"/>
      <c r="M9" s="1255">
        <f>VLOOKUP('Sensitivity 2'!$H$20,C20:J31,6,FALSE)</f>
        <v>50704.553571428572</v>
      </c>
      <c r="N9" s="1256"/>
      <c r="O9" s="1333"/>
      <c r="P9" s="1251"/>
      <c r="Q9" s="1251"/>
      <c r="R9" s="1251"/>
      <c r="S9" s="1251"/>
      <c r="T9" s="1265"/>
      <c r="U9" s="1265"/>
      <c r="V9" s="1265"/>
      <c r="W9" s="1265"/>
      <c r="X9" s="683"/>
      <c r="Y9" s="683"/>
      <c r="Z9" s="79"/>
      <c r="AA9" s="79"/>
    </row>
    <row r="10" spans="1:27" ht="15" customHeight="1" x14ac:dyDescent="0.3">
      <c r="A10" s="3"/>
      <c r="B10" s="3"/>
      <c r="C10" s="1252" t="s">
        <v>375</v>
      </c>
      <c r="D10" s="1253"/>
      <c r="E10" s="1253"/>
      <c r="F10" s="1253"/>
      <c r="G10" s="1253"/>
      <c r="H10" s="1253"/>
      <c r="I10" s="1253"/>
      <c r="J10" s="1253"/>
      <c r="K10" s="1253"/>
      <c r="L10" s="1254"/>
      <c r="M10" s="1328">
        <f>'Sensitivity 2'!H32</f>
        <v>8</v>
      </c>
      <c r="N10" s="1009"/>
      <c r="O10" s="1329"/>
      <c r="P10" s="1319"/>
      <c r="Q10" s="1319"/>
      <c r="R10" s="1319"/>
      <c r="S10" s="1319"/>
      <c r="T10" s="1319"/>
      <c r="U10" s="1319"/>
      <c r="V10" s="1319"/>
      <c r="W10" s="1319"/>
      <c r="X10" s="1319"/>
      <c r="Y10" s="1319"/>
      <c r="Z10" s="1319"/>
      <c r="AA10" s="79"/>
    </row>
    <row r="11" spans="1:27" ht="15" customHeight="1" x14ac:dyDescent="0.3">
      <c r="A11" s="3"/>
      <c r="B11" s="3"/>
      <c r="C11" s="1252" t="s">
        <v>78</v>
      </c>
      <c r="D11" s="1253"/>
      <c r="E11" s="1253"/>
      <c r="F11" s="1253"/>
      <c r="G11" s="1253"/>
      <c r="H11" s="1253"/>
      <c r="I11" s="1253"/>
      <c r="J11" s="1253"/>
      <c r="K11" s="1253"/>
      <c r="L11" s="1254"/>
      <c r="M11" s="1259">
        <f>'Scheme Entry - Baseline'!I7</f>
        <v>21.350369370165694</v>
      </c>
      <c r="N11" s="955"/>
      <c r="O11" s="1183"/>
      <c r="P11" s="955"/>
      <c r="Q11" s="955"/>
      <c r="R11" s="955"/>
      <c r="S11" s="955"/>
      <c r="T11" s="955"/>
      <c r="U11" s="955"/>
      <c r="V11" s="955"/>
      <c r="W11" s="955"/>
      <c r="X11" s="678"/>
      <c r="Y11" s="678"/>
      <c r="Z11" s="79"/>
      <c r="AA11" s="79"/>
    </row>
    <row r="12" spans="1:27" ht="15" customHeight="1" x14ac:dyDescent="0.3">
      <c r="A12" s="3"/>
      <c r="B12" s="3"/>
      <c r="C12" s="1252" t="s">
        <v>79</v>
      </c>
      <c r="D12" s="1253"/>
      <c r="E12" s="1253"/>
      <c r="F12" s="1253"/>
      <c r="G12" s="1253"/>
      <c r="H12" s="1253"/>
      <c r="I12" s="1253"/>
      <c r="J12" s="1253"/>
      <c r="K12" s="1253"/>
      <c r="L12" s="1254"/>
      <c r="M12" s="1325">
        <f>'Scheme Entry - Baseline'!L5*100</f>
        <v>5</v>
      </c>
      <c r="N12" s="1326"/>
      <c r="O12" s="1327"/>
      <c r="P12" s="1319"/>
      <c r="Q12" s="1319"/>
      <c r="R12" s="1319"/>
      <c r="S12" s="1319"/>
      <c r="T12" s="1319"/>
      <c r="U12" s="1319"/>
      <c r="V12" s="1319"/>
      <c r="W12" s="1319"/>
      <c r="X12" s="1319"/>
      <c r="Y12" s="1319"/>
      <c r="Z12" s="1319"/>
      <c r="AA12" s="79"/>
    </row>
    <row r="13" spans="1:27" ht="15" customHeight="1" x14ac:dyDescent="0.3">
      <c r="A13" s="3"/>
      <c r="B13" s="3"/>
      <c r="C13" s="1252" t="s">
        <v>80</v>
      </c>
      <c r="D13" s="1253"/>
      <c r="E13" s="1253"/>
      <c r="F13" s="1253"/>
      <c r="G13" s="1253"/>
      <c r="H13" s="1253"/>
      <c r="I13" s="1253"/>
      <c r="J13" s="1253"/>
      <c r="K13" s="1253"/>
      <c r="L13" s="1254"/>
      <c r="M13" s="1262">
        <f>(1+(M10/100))/(1+(M12/100))</f>
        <v>1.0285714285714287</v>
      </c>
      <c r="N13" s="1263"/>
      <c r="O13" s="1321"/>
      <c r="P13" s="1263"/>
      <c r="Q13" s="1263"/>
      <c r="R13" s="1263"/>
      <c r="S13" s="1263"/>
      <c r="T13" s="1263"/>
      <c r="U13" s="1263"/>
      <c r="V13" s="1263"/>
      <c r="W13" s="1263"/>
      <c r="X13" s="682"/>
      <c r="Y13" s="682"/>
      <c r="Z13" s="79"/>
      <c r="AA13" s="79"/>
    </row>
    <row r="14" spans="1:27" ht="15" customHeight="1" thickBot="1" x14ac:dyDescent="0.35">
      <c r="A14" s="3"/>
      <c r="B14" s="3"/>
      <c r="C14" s="1252" t="s">
        <v>81</v>
      </c>
      <c r="D14" s="1253"/>
      <c r="E14" s="1253"/>
      <c r="F14" s="1253"/>
      <c r="G14" s="1253"/>
      <c r="H14" s="1253"/>
      <c r="I14" s="1253"/>
      <c r="J14" s="1253"/>
      <c r="K14" s="1253"/>
      <c r="L14" s="1254"/>
      <c r="M14" s="1322">
        <f>(1-POWER(M13,'Scheme Entry - Baseline'!I5+1))/(1-M13)</f>
        <v>48.817787596951867</v>
      </c>
      <c r="N14" s="1323"/>
      <c r="O14" s="1324"/>
      <c r="P14" s="1266"/>
      <c r="Q14" s="1266"/>
      <c r="R14" s="1266"/>
      <c r="S14" s="1266"/>
      <c r="T14" s="1266"/>
      <c r="U14" s="1266"/>
      <c r="V14" s="1266"/>
      <c r="W14" s="1266"/>
      <c r="X14" s="684"/>
      <c r="Y14" s="684"/>
      <c r="Z14" s="79"/>
      <c r="AA14" s="79"/>
    </row>
    <row r="15" spans="1:27" ht="16.2" thickBot="1" x14ac:dyDescent="0.35">
      <c r="A15" s="3"/>
      <c r="B15" s="3"/>
      <c r="C15" s="1267" t="s">
        <v>82</v>
      </c>
      <c r="D15" s="1268"/>
      <c r="E15" s="1268"/>
      <c r="F15" s="1268"/>
      <c r="G15" s="1268"/>
      <c r="H15" s="1268"/>
      <c r="I15" s="1268"/>
      <c r="J15" s="1268"/>
      <c r="K15" s="1268"/>
      <c r="L15" s="1269"/>
      <c r="M15" s="1270">
        <f>IF(M10&lt;=M12,M9,(M9*(M14/M11)))</f>
        <v>115936.36079697749</v>
      </c>
      <c r="N15" s="1271"/>
      <c r="O15" s="1272"/>
      <c r="P15" s="1319"/>
      <c r="Q15" s="1319"/>
      <c r="R15" s="1319"/>
      <c r="S15" s="1319"/>
      <c r="T15" s="1319"/>
      <c r="U15" s="1319"/>
      <c r="V15" s="1319"/>
      <c r="W15" s="1319"/>
      <c r="X15" s="1319"/>
      <c r="Y15" s="1319"/>
      <c r="Z15" s="1319"/>
      <c r="AA15" s="79"/>
    </row>
    <row r="16" spans="1:27" ht="15" customHeight="1" x14ac:dyDescent="0.3">
      <c r="A16" s="3"/>
      <c r="B16" s="3"/>
      <c r="C16" s="3"/>
      <c r="D16" s="3"/>
      <c r="E16" s="3"/>
      <c r="F16" s="3"/>
      <c r="G16" s="3"/>
      <c r="H16" s="3"/>
      <c r="I16" s="3"/>
      <c r="J16" s="3"/>
      <c r="K16" s="3"/>
      <c r="L16" s="3"/>
      <c r="M16" s="3"/>
      <c r="N16" s="3"/>
      <c r="O16" s="3"/>
      <c r="P16" s="3"/>
      <c r="Q16" s="3"/>
      <c r="R16" s="3"/>
      <c r="S16" s="3"/>
      <c r="T16" s="3"/>
      <c r="U16" s="3"/>
      <c r="V16" s="3"/>
      <c r="W16" s="3"/>
      <c r="X16" s="3"/>
      <c r="Y16" s="3"/>
      <c r="Z16" s="3"/>
      <c r="AA16" s="79"/>
    </row>
    <row r="17" spans="1:27" ht="15" customHeight="1" thickBot="1" x14ac:dyDescent="0.35">
      <c r="A17" s="79"/>
      <c r="B17" s="199"/>
      <c r="C17" s="26" t="s">
        <v>141</v>
      </c>
      <c r="D17" s="79"/>
      <c r="E17" s="79"/>
      <c r="F17" s="79"/>
      <c r="G17" s="79"/>
      <c r="H17" s="79"/>
      <c r="I17" s="79"/>
      <c r="J17" s="79"/>
      <c r="K17" s="79"/>
      <c r="L17" s="79"/>
      <c r="M17" s="79"/>
      <c r="N17" s="79"/>
      <c r="O17" s="79"/>
      <c r="P17" s="79"/>
      <c r="Q17" s="79"/>
      <c r="R17" s="79"/>
      <c r="S17" s="79"/>
      <c r="T17" s="79"/>
      <c r="U17" s="79"/>
      <c r="V17" s="79"/>
      <c r="W17" s="79"/>
      <c r="X17" s="79"/>
      <c r="Y17" s="3"/>
      <c r="Z17" s="79"/>
      <c r="AA17" s="79"/>
    </row>
    <row r="18" spans="1:27" ht="15" customHeight="1" x14ac:dyDescent="0.3">
      <c r="A18" s="79"/>
      <c r="B18" s="31"/>
      <c r="C18" s="1223" t="s">
        <v>130</v>
      </c>
      <c r="D18" s="1225"/>
      <c r="E18" s="1188" t="s">
        <v>92</v>
      </c>
      <c r="F18" s="1060"/>
      <c r="G18" s="1189"/>
      <c r="H18" s="1223" t="s">
        <v>131</v>
      </c>
      <c r="I18" s="1224"/>
      <c r="J18" s="1225"/>
      <c r="K18" s="75"/>
      <c r="L18" s="75"/>
      <c r="M18" s="1293"/>
      <c r="N18" s="1293"/>
      <c r="O18" s="1293"/>
      <c r="P18" s="75"/>
      <c r="Q18" s="75"/>
      <c r="R18" s="75"/>
      <c r="S18" s="75"/>
      <c r="T18" s="75"/>
      <c r="U18" s="75"/>
      <c r="V18" s="75"/>
      <c r="W18" s="75"/>
      <c r="X18" s="75"/>
      <c r="Y18" s="3"/>
      <c r="Z18" s="79"/>
      <c r="AA18" s="79"/>
    </row>
    <row r="19" spans="1:27" ht="15" customHeight="1" thickBot="1" x14ac:dyDescent="0.35">
      <c r="A19" s="79"/>
      <c r="B19" s="31"/>
      <c r="C19" s="1226"/>
      <c r="D19" s="1228"/>
      <c r="E19" s="1192"/>
      <c r="F19" s="1061"/>
      <c r="G19" s="1193"/>
      <c r="H19" s="1226"/>
      <c r="I19" s="1227"/>
      <c r="J19" s="1228"/>
      <c r="K19" s="75"/>
      <c r="L19" s="75"/>
      <c r="M19" s="75"/>
      <c r="N19" s="75"/>
      <c r="O19" s="75"/>
      <c r="P19" s="75"/>
      <c r="Q19" s="75"/>
      <c r="R19" s="75"/>
      <c r="S19" s="75"/>
      <c r="T19" s="75"/>
      <c r="U19" s="75"/>
      <c r="V19" s="75"/>
      <c r="W19" s="75"/>
      <c r="X19" s="75"/>
      <c r="Y19" s="3"/>
      <c r="Z19" s="79"/>
      <c r="AA19" s="79"/>
    </row>
    <row r="20" spans="1:27" ht="15" customHeight="1" x14ac:dyDescent="0.3">
      <c r="A20" s="79"/>
      <c r="B20" s="79"/>
      <c r="C20" s="121" t="s">
        <v>113</v>
      </c>
      <c r="D20" s="122"/>
      <c r="E20" s="1284">
        <f>'Burn Pro Sen 2'!P13</f>
        <v>798381.81818181812</v>
      </c>
      <c r="F20" s="1285"/>
      <c r="G20" s="1286"/>
      <c r="H20" s="1232">
        <f>'Burn Pro Sen 1'!V13</f>
        <v>101409.10714285714</v>
      </c>
      <c r="I20" s="1233"/>
      <c r="J20" s="1234"/>
      <c r="K20" s="75"/>
      <c r="L20" s="75"/>
      <c r="M20" s="75"/>
      <c r="N20" s="75"/>
      <c r="O20" s="75"/>
      <c r="P20" s="75"/>
      <c r="Q20" s="75"/>
      <c r="R20" s="75"/>
      <c r="S20" s="75"/>
      <c r="T20" s="75"/>
      <c r="U20" s="75"/>
      <c r="V20" s="75"/>
      <c r="W20" s="75"/>
      <c r="X20" s="75"/>
      <c r="Y20" s="3"/>
      <c r="Z20" s="79"/>
      <c r="AA20" s="79"/>
    </row>
    <row r="21" spans="1:27" ht="15" customHeight="1" x14ac:dyDescent="0.3">
      <c r="A21" s="79"/>
      <c r="B21" s="79"/>
      <c r="C21" s="123" t="s">
        <v>114</v>
      </c>
      <c r="D21" s="124"/>
      <c r="E21" s="1303">
        <f>'Burn Pro Sen 2'!P22</f>
        <v>997189.55357142864</v>
      </c>
      <c r="F21" s="1304"/>
      <c r="G21" s="1305"/>
      <c r="H21" s="1315">
        <f>'Burn Pro Sen 1'!V22</f>
        <v>89747.059821428571</v>
      </c>
      <c r="I21" s="1316"/>
      <c r="J21" s="1317"/>
      <c r="K21" s="41"/>
      <c r="L21" s="41"/>
      <c r="M21" s="54"/>
      <c r="N21" s="54"/>
      <c r="O21" s="54"/>
      <c r="P21" s="54"/>
      <c r="Q21" s="54"/>
      <c r="R21" s="54"/>
      <c r="S21" s="54"/>
      <c r="T21" s="54"/>
      <c r="U21" s="54"/>
      <c r="V21" s="54"/>
      <c r="W21" s="54"/>
      <c r="X21" s="54"/>
      <c r="Y21" s="3"/>
      <c r="Z21" s="79"/>
      <c r="AA21" s="79"/>
    </row>
    <row r="22" spans="1:27" ht="15" customHeight="1" x14ac:dyDescent="0.3">
      <c r="A22" s="79"/>
      <c r="B22" s="79"/>
      <c r="C22" s="125" t="s">
        <v>117</v>
      </c>
      <c r="D22" s="126"/>
      <c r="E22" s="1306">
        <f>'Burn Pro Sen 2'!P30</f>
        <v>955724.49642857141</v>
      </c>
      <c r="F22" s="1307"/>
      <c r="G22" s="1308"/>
      <c r="H22" s="1297">
        <f>'Burn Pro Sen 1'!V30</f>
        <v>86015.204678571419</v>
      </c>
      <c r="I22" s="1298"/>
      <c r="J22" s="1299"/>
      <c r="K22" s="41"/>
      <c r="L22" s="41"/>
      <c r="M22" s="54"/>
      <c r="N22" s="54"/>
      <c r="O22" s="54"/>
      <c r="P22" s="54"/>
      <c r="Q22" s="54"/>
      <c r="R22" s="54"/>
      <c r="S22" s="54"/>
      <c r="T22" s="54"/>
      <c r="U22" s="54"/>
      <c r="V22" s="54"/>
      <c r="W22" s="54"/>
      <c r="X22" s="54"/>
      <c r="Y22" s="79"/>
      <c r="Z22" s="79"/>
      <c r="AA22" s="79"/>
    </row>
    <row r="23" spans="1:27" ht="15" customHeight="1" x14ac:dyDescent="0.3">
      <c r="A23" s="3"/>
      <c r="B23" s="3"/>
      <c r="C23" s="127" t="s">
        <v>118</v>
      </c>
      <c r="D23" s="128"/>
      <c r="E23" s="1294">
        <f>'Burn Pro Sen 2'!P40</f>
        <v>867611.25</v>
      </c>
      <c r="F23" s="1295"/>
      <c r="G23" s="1296"/>
      <c r="H23" s="1300">
        <f>'Burn Pro Sen 1'!V40</f>
        <v>78085.012499999997</v>
      </c>
      <c r="I23" s="1301"/>
      <c r="J23" s="1302"/>
      <c r="K23" s="3"/>
      <c r="L23" s="3"/>
      <c r="M23" s="727"/>
      <c r="N23" s="3"/>
      <c r="O23" s="79"/>
      <c r="P23" s="79"/>
      <c r="Q23" s="79"/>
      <c r="R23" s="79"/>
      <c r="S23" s="79"/>
      <c r="T23" s="79"/>
      <c r="U23" s="79"/>
      <c r="V23" s="79"/>
      <c r="W23" s="79"/>
      <c r="X23" s="79"/>
      <c r="Y23" s="79"/>
      <c r="Z23" s="79"/>
      <c r="AA23" s="79"/>
    </row>
    <row r="24" spans="1:27" ht="15" customHeight="1" x14ac:dyDescent="0.3">
      <c r="A24" s="79"/>
      <c r="B24" s="79"/>
      <c r="C24" s="129" t="s">
        <v>120</v>
      </c>
      <c r="D24" s="130"/>
      <c r="E24" s="1303">
        <f>'Burn Pro Sen 2'!P49</f>
        <v>912681.96428571432</v>
      </c>
      <c r="F24" s="1304"/>
      <c r="G24" s="1305"/>
      <c r="H24" s="1297">
        <f>'Burn Pro Sen 1'!V49</f>
        <v>82141.376785714296</v>
      </c>
      <c r="I24" s="1298"/>
      <c r="J24" s="1299"/>
      <c r="K24" s="79"/>
      <c r="L24" s="79"/>
      <c r="M24" s="79"/>
      <c r="N24" s="79"/>
      <c r="O24" s="79"/>
      <c r="P24" s="79"/>
      <c r="Q24" s="79"/>
      <c r="R24" s="728"/>
      <c r="S24" s="728"/>
      <c r="T24" s="728"/>
      <c r="U24" s="728"/>
      <c r="V24" s="729"/>
      <c r="W24" s="729"/>
      <c r="X24" s="729"/>
      <c r="Y24" s="729"/>
      <c r="Z24" s="729"/>
      <c r="AA24" s="729"/>
    </row>
    <row r="25" spans="1:27" ht="15" customHeight="1" x14ac:dyDescent="0.3">
      <c r="A25" s="79"/>
      <c r="B25" s="79"/>
      <c r="C25" s="131" t="s">
        <v>121</v>
      </c>
      <c r="D25" s="132"/>
      <c r="E25" s="1306">
        <f>'Burn Pro Sen 2'!P57</f>
        <v>844174.47857142868</v>
      </c>
      <c r="F25" s="1307"/>
      <c r="G25" s="1308"/>
      <c r="H25" s="1297">
        <f>'Burn Pro Sen 1'!V57</f>
        <v>75975.703071428579</v>
      </c>
      <c r="I25" s="1298"/>
      <c r="J25" s="1299"/>
      <c r="K25" s="79"/>
      <c r="L25" s="79"/>
      <c r="M25" s="79"/>
      <c r="N25" s="79"/>
      <c r="O25" s="79"/>
      <c r="P25" s="79"/>
      <c r="Q25" s="79"/>
      <c r="R25" s="79"/>
      <c r="S25" s="79"/>
      <c r="T25" s="79"/>
      <c r="U25" s="79"/>
      <c r="V25" s="79"/>
      <c r="W25" s="79"/>
      <c r="X25" s="79"/>
      <c r="Y25" s="79"/>
      <c r="Z25" s="79"/>
      <c r="AA25" s="79"/>
    </row>
    <row r="26" spans="1:27" ht="15" customHeight="1" x14ac:dyDescent="0.3">
      <c r="A26" s="79"/>
      <c r="B26" s="79"/>
      <c r="C26" s="133" t="s">
        <v>122</v>
      </c>
      <c r="D26" s="134"/>
      <c r="E26" s="1294">
        <f>'Burn Pro Sen 2'!P72</f>
        <v>698596.07142857148</v>
      </c>
      <c r="F26" s="1295"/>
      <c r="G26" s="1296"/>
      <c r="H26" s="1297">
        <f>'Burn Pro Sen 1'!V72</f>
        <v>62873.646428571432</v>
      </c>
      <c r="I26" s="1298"/>
      <c r="J26" s="1299"/>
      <c r="K26" s="79"/>
      <c r="L26" s="79"/>
      <c r="M26" s="79"/>
      <c r="N26" s="79"/>
      <c r="O26" s="79"/>
      <c r="P26" s="79"/>
      <c r="Q26" s="79"/>
      <c r="R26" s="79"/>
      <c r="S26" s="79"/>
      <c r="T26" s="79"/>
      <c r="U26" s="79"/>
      <c r="V26" s="79"/>
      <c r="W26" s="79"/>
      <c r="X26" s="79"/>
      <c r="Y26" s="79"/>
      <c r="Z26" s="79"/>
      <c r="AA26" s="79"/>
    </row>
    <row r="27" spans="1:27" ht="15" customHeight="1" x14ac:dyDescent="0.3">
      <c r="A27" s="79"/>
      <c r="B27" s="79"/>
      <c r="C27" s="135" t="s">
        <v>126</v>
      </c>
      <c r="D27" s="136"/>
      <c r="E27" s="1303">
        <f>'Burn Pro Sen 2'!P82</f>
        <v>684511.4732142858</v>
      </c>
      <c r="F27" s="1304"/>
      <c r="G27" s="1305"/>
      <c r="H27" s="1315">
        <f>'Burn Pro Sen 1'!V82</f>
        <v>61606.032589285714</v>
      </c>
      <c r="I27" s="1316"/>
      <c r="J27" s="1317"/>
      <c r="K27" s="79"/>
      <c r="L27" s="79"/>
      <c r="M27" s="79"/>
      <c r="N27" s="79"/>
      <c r="O27" s="79"/>
      <c r="P27" s="79"/>
      <c r="Q27" s="79"/>
      <c r="R27" s="79"/>
      <c r="S27" s="79"/>
      <c r="T27" s="79"/>
      <c r="U27" s="79"/>
      <c r="V27" s="79"/>
      <c r="W27" s="79"/>
      <c r="X27" s="79"/>
      <c r="Y27" s="79"/>
      <c r="Z27" s="79"/>
      <c r="AA27" s="79"/>
    </row>
    <row r="28" spans="1:27" ht="15" customHeight="1" x14ac:dyDescent="0.3">
      <c r="A28" s="79"/>
      <c r="B28" s="79"/>
      <c r="C28" s="137" t="s">
        <v>127</v>
      </c>
      <c r="D28" s="138"/>
      <c r="E28" s="1306">
        <f>'Burn Pro Sen 2'!P91</f>
        <v>680004.40178571432</v>
      </c>
      <c r="F28" s="1307"/>
      <c r="G28" s="1308"/>
      <c r="H28" s="1297">
        <f>'Burn Pro Sen 1'!V91</f>
        <v>61200.396160714285</v>
      </c>
      <c r="I28" s="1298"/>
      <c r="J28" s="1299"/>
      <c r="K28" s="79"/>
      <c r="L28" s="79"/>
      <c r="M28" s="79"/>
      <c r="N28" s="79"/>
      <c r="O28" s="79"/>
      <c r="P28" s="79"/>
      <c r="Q28" s="79"/>
      <c r="R28" s="79"/>
      <c r="S28" s="79"/>
      <c r="T28" s="79"/>
      <c r="U28" s="79"/>
      <c r="V28" s="79"/>
      <c r="W28" s="79"/>
      <c r="X28" s="79"/>
      <c r="Y28" s="79"/>
      <c r="Z28" s="79"/>
      <c r="AA28" s="79"/>
    </row>
    <row r="29" spans="1:27" ht="15" customHeight="1" x14ac:dyDescent="0.3">
      <c r="A29" s="79"/>
      <c r="B29" s="79"/>
      <c r="C29" s="139" t="s">
        <v>128</v>
      </c>
      <c r="D29" s="140"/>
      <c r="E29" s="1306">
        <f>'Burn Pro Sen 2'!P106</f>
        <v>652623.94285714289</v>
      </c>
      <c r="F29" s="1307"/>
      <c r="G29" s="1308"/>
      <c r="H29" s="1297">
        <f>'Burn Pro Sen 1'!V105</f>
        <v>58736.154857142858</v>
      </c>
      <c r="I29" s="1298"/>
      <c r="J29" s="1299"/>
      <c r="K29" s="79"/>
      <c r="L29" s="79"/>
      <c r="M29" s="79"/>
      <c r="N29" s="79"/>
      <c r="O29" s="79"/>
      <c r="P29" s="79"/>
      <c r="Q29" s="79"/>
      <c r="R29" s="79"/>
      <c r="S29" s="79"/>
      <c r="T29" s="79"/>
      <c r="U29" s="79"/>
      <c r="V29" s="79"/>
      <c r="W29" s="79"/>
      <c r="X29" s="79"/>
      <c r="Y29" s="3"/>
      <c r="Z29" s="79"/>
      <c r="AA29" s="79"/>
    </row>
    <row r="30" spans="1:27" ht="15" customHeight="1" x14ac:dyDescent="0.3">
      <c r="A30" s="79"/>
      <c r="B30" s="79"/>
      <c r="C30" s="141" t="s">
        <v>129</v>
      </c>
      <c r="D30" s="142"/>
      <c r="E30" s="1294">
        <f>'Burn Pro Sen 2'!P115</f>
        <v>559552.91785714286</v>
      </c>
      <c r="F30" s="1295"/>
      <c r="G30" s="1296"/>
      <c r="H30" s="1300">
        <f>'Burn Pro Sen 1'!V114</f>
        <v>50359.762607142853</v>
      </c>
      <c r="I30" s="1301"/>
      <c r="J30" s="1302"/>
      <c r="K30" s="79"/>
      <c r="L30" s="79"/>
      <c r="M30" s="79"/>
      <c r="N30" s="79"/>
      <c r="O30" s="79"/>
      <c r="P30" s="79"/>
      <c r="Q30" s="79"/>
      <c r="R30" s="79"/>
      <c r="S30" s="79"/>
      <c r="T30" s="79"/>
      <c r="U30" s="79"/>
      <c r="V30" s="79"/>
      <c r="W30" s="79"/>
      <c r="X30" s="79"/>
      <c r="Y30" s="3"/>
      <c r="Z30" s="79"/>
      <c r="AA30" s="79"/>
    </row>
    <row r="31" spans="1:27" ht="15" customHeight="1" thickBot="1" x14ac:dyDescent="0.35">
      <c r="A31" s="79"/>
      <c r="B31" s="79"/>
      <c r="C31" s="143" t="s">
        <v>135</v>
      </c>
      <c r="D31" s="144"/>
      <c r="E31" s="1309">
        <f>'Burn Pro Sen 2'!P123</f>
        <v>399190.90909090906</v>
      </c>
      <c r="F31" s="1310"/>
      <c r="G31" s="1311"/>
      <c r="H31" s="1312">
        <f>'Burn Pro Sen 1'!V122</f>
        <v>50704.553571428572</v>
      </c>
      <c r="I31" s="1313"/>
      <c r="J31" s="1314"/>
      <c r="K31" s="79"/>
      <c r="L31" s="79"/>
      <c r="M31" s="79"/>
      <c r="N31" s="79"/>
      <c r="O31" s="79"/>
      <c r="P31" s="79"/>
      <c r="Q31" s="79"/>
      <c r="R31" s="79"/>
      <c r="S31" s="79"/>
      <c r="T31" s="79"/>
      <c r="U31" s="79"/>
      <c r="V31" s="79"/>
      <c r="W31" s="79"/>
      <c r="X31" s="79"/>
      <c r="Y31" s="3"/>
      <c r="Z31" s="79"/>
      <c r="AA31" s="79"/>
    </row>
    <row r="32" spans="1:27" ht="15" customHeight="1" x14ac:dyDescent="0.3">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row>
  </sheetData>
  <mergeCells count="56">
    <mergeCell ref="E26:G26"/>
    <mergeCell ref="H26:J26"/>
    <mergeCell ref="E30:G30"/>
    <mergeCell ref="H30:J30"/>
    <mergeCell ref="E31:G31"/>
    <mergeCell ref="H31:J31"/>
    <mergeCell ref="E27:G27"/>
    <mergeCell ref="H27:J27"/>
    <mergeCell ref="E28:G28"/>
    <mergeCell ref="H28:J28"/>
    <mergeCell ref="E29:G29"/>
    <mergeCell ref="H29:J29"/>
    <mergeCell ref="E23:G23"/>
    <mergeCell ref="H23:J23"/>
    <mergeCell ref="E24:G24"/>
    <mergeCell ref="H24:J24"/>
    <mergeCell ref="E25:G25"/>
    <mergeCell ref="H25:J25"/>
    <mergeCell ref="E20:G20"/>
    <mergeCell ref="H20:J20"/>
    <mergeCell ref="E21:G21"/>
    <mergeCell ref="H21:J21"/>
    <mergeCell ref="E22:G22"/>
    <mergeCell ref="H22:J22"/>
    <mergeCell ref="T14:W14"/>
    <mergeCell ref="M15:O15"/>
    <mergeCell ref="P15:Z15"/>
    <mergeCell ref="C18:D19"/>
    <mergeCell ref="E18:G19"/>
    <mergeCell ref="H18:J19"/>
    <mergeCell ref="M18:O18"/>
    <mergeCell ref="C13:L13"/>
    <mergeCell ref="C14:L14"/>
    <mergeCell ref="C15:L15"/>
    <mergeCell ref="M14:O14"/>
    <mergeCell ref="P14:S14"/>
    <mergeCell ref="C7:L8"/>
    <mergeCell ref="C9:L9"/>
    <mergeCell ref="C10:L10"/>
    <mergeCell ref="C11:L11"/>
    <mergeCell ref="C12:L12"/>
    <mergeCell ref="M12:O12"/>
    <mergeCell ref="P12:Z12"/>
    <mergeCell ref="M13:O13"/>
    <mergeCell ref="P13:S13"/>
    <mergeCell ref="T13:W13"/>
    <mergeCell ref="M10:O10"/>
    <mergeCell ref="P10:Z10"/>
    <mergeCell ref="M11:O11"/>
    <mergeCell ref="P11:S11"/>
    <mergeCell ref="T11:W11"/>
    <mergeCell ref="M7:O8"/>
    <mergeCell ref="P7:Z8"/>
    <mergeCell ref="M9:O9"/>
    <mergeCell ref="P9:S9"/>
    <mergeCell ref="T9:W9"/>
  </mergeCells>
  <dataValidations disablePrompts="1" count="4">
    <dataValidation allowBlank="1" showInputMessage="1" showErrorMessage="1" prompt="53.347901" sqref="JP65498 TL65498 ADH65498 AND65498 AWZ65498 BGV65498 BQR65498 CAN65498 CKJ65498 CUF65498 DEB65498 DNX65498 DXT65498 EHP65498 ERL65498 FBH65498 FLD65498 FUZ65498 GEV65498 GOR65498 GYN65498 HIJ65498 HSF65498 ICB65498 ILX65498 IVT65498 JFP65498 JPL65498 JZH65498 KJD65498 KSZ65498 LCV65498 LMR65498 LWN65498 MGJ65498 MQF65498 NAB65498 NJX65498 NTT65498 ODP65498 ONL65498 OXH65498 PHD65498 PQZ65498 QAV65498 QKR65498 QUN65498 REJ65498 ROF65498 RYB65498 SHX65498 SRT65498 TBP65498 TLL65498 TVH65498 UFD65498 UOZ65498 UYV65498 VIR65498 VSN65498 WCJ65498 WMF65498 WWB65498 JP131034 TL131034 ADH131034 AND131034 AWZ131034 BGV131034 BQR131034 CAN131034 CKJ131034 CUF131034 DEB131034 DNX131034 DXT131034 EHP131034 ERL131034 FBH131034 FLD131034 FUZ131034 GEV131034 GOR131034 GYN131034 HIJ131034 HSF131034 ICB131034 ILX131034 IVT131034 JFP131034 JPL131034 JZH131034 KJD131034 KSZ131034 LCV131034 LMR131034 LWN131034 MGJ131034 MQF131034 NAB131034 NJX131034 NTT131034 ODP131034 ONL131034 OXH131034 PHD131034 PQZ131034 QAV131034 QKR131034 QUN131034 REJ131034 ROF131034 RYB131034 SHX131034 SRT131034 TBP131034 TLL131034 TVH131034 UFD131034 UOZ131034 UYV131034 VIR131034 VSN131034 WCJ131034 WMF131034 WWB131034 JP196570 TL196570 ADH196570 AND196570 AWZ196570 BGV196570 BQR196570 CAN196570 CKJ196570 CUF196570 DEB196570 DNX196570 DXT196570 EHP196570 ERL196570 FBH196570 FLD196570 FUZ196570 GEV196570 GOR196570 GYN196570 HIJ196570 HSF196570 ICB196570 ILX196570 IVT196570 JFP196570 JPL196570 JZH196570 KJD196570 KSZ196570 LCV196570 LMR196570 LWN196570 MGJ196570 MQF196570 NAB196570 NJX196570 NTT196570 ODP196570 ONL196570 OXH196570 PHD196570 PQZ196570 QAV196570 QKR196570 QUN196570 REJ196570 ROF196570 RYB196570 SHX196570 SRT196570 TBP196570 TLL196570 TVH196570 UFD196570 UOZ196570 UYV196570 VIR196570 VSN196570 WCJ196570 WMF196570 WWB196570 JP262106 TL262106 ADH262106 AND262106 AWZ262106 BGV262106 BQR262106 CAN262106 CKJ262106 CUF262106 DEB262106 DNX262106 DXT262106 EHP262106 ERL262106 FBH262106 FLD262106 FUZ262106 GEV262106 GOR262106 GYN262106 HIJ262106 HSF262106 ICB262106 ILX262106 IVT262106 JFP262106 JPL262106 JZH262106 KJD262106 KSZ262106 LCV262106 LMR262106 LWN262106 MGJ262106 MQF262106 NAB262106 NJX262106 NTT262106 ODP262106 ONL262106 OXH262106 PHD262106 PQZ262106 QAV262106 QKR262106 QUN262106 REJ262106 ROF262106 RYB262106 SHX262106 SRT262106 TBP262106 TLL262106 TVH262106 UFD262106 UOZ262106 UYV262106 VIR262106 VSN262106 WCJ262106 WMF262106 WWB262106 JP327642 TL327642 ADH327642 AND327642 AWZ327642 BGV327642 BQR327642 CAN327642 CKJ327642 CUF327642 DEB327642 DNX327642 DXT327642 EHP327642 ERL327642 FBH327642 FLD327642 FUZ327642 GEV327642 GOR327642 GYN327642 HIJ327642 HSF327642 ICB327642 ILX327642 IVT327642 JFP327642 JPL327642 JZH327642 KJD327642 KSZ327642 LCV327642 LMR327642 LWN327642 MGJ327642 MQF327642 NAB327642 NJX327642 NTT327642 ODP327642 ONL327642 OXH327642 PHD327642 PQZ327642 QAV327642 QKR327642 QUN327642 REJ327642 ROF327642 RYB327642 SHX327642 SRT327642 TBP327642 TLL327642 TVH327642 UFD327642 UOZ327642 UYV327642 VIR327642 VSN327642 WCJ327642 WMF327642 WWB327642 JP393178 TL393178 ADH393178 AND393178 AWZ393178 BGV393178 BQR393178 CAN393178 CKJ393178 CUF393178 DEB393178 DNX393178 DXT393178 EHP393178 ERL393178 FBH393178 FLD393178 FUZ393178 GEV393178 GOR393178 GYN393178 HIJ393178 HSF393178 ICB393178 ILX393178 IVT393178 JFP393178 JPL393178 JZH393178 KJD393178 KSZ393178 LCV393178 LMR393178 LWN393178 MGJ393178 MQF393178 NAB393178 NJX393178 NTT393178 ODP393178 ONL393178 OXH393178 PHD393178 PQZ393178 QAV393178 QKR393178 QUN393178 REJ393178 ROF393178 RYB393178 SHX393178 SRT393178 TBP393178 TLL393178 TVH393178 UFD393178 UOZ393178 UYV393178 VIR393178 VSN393178 WCJ393178 WMF393178 WWB393178 JP458714 TL458714 ADH458714 AND458714 AWZ458714 BGV458714 BQR458714 CAN458714 CKJ458714 CUF458714 DEB458714 DNX458714 DXT458714 EHP458714 ERL458714 FBH458714 FLD458714 FUZ458714 GEV458714 GOR458714 GYN458714 HIJ458714 HSF458714 ICB458714 ILX458714 IVT458714 JFP458714 JPL458714 JZH458714 KJD458714 KSZ458714 LCV458714 LMR458714 LWN458714 MGJ458714 MQF458714 NAB458714 NJX458714 NTT458714 ODP458714 ONL458714 OXH458714 PHD458714 PQZ458714 QAV458714 QKR458714 QUN458714 REJ458714 ROF458714 RYB458714 SHX458714 SRT458714 TBP458714 TLL458714 TVH458714 UFD458714 UOZ458714 UYV458714 VIR458714 VSN458714 WCJ458714 WMF458714 WWB458714 JP524250 TL524250 ADH524250 AND524250 AWZ524250 BGV524250 BQR524250 CAN524250 CKJ524250 CUF524250 DEB524250 DNX524250 DXT524250 EHP524250 ERL524250 FBH524250 FLD524250 FUZ524250 GEV524250 GOR524250 GYN524250 HIJ524250 HSF524250 ICB524250 ILX524250 IVT524250 JFP524250 JPL524250 JZH524250 KJD524250 KSZ524250 LCV524250 LMR524250 LWN524250 MGJ524250 MQF524250 NAB524250 NJX524250 NTT524250 ODP524250 ONL524250 OXH524250 PHD524250 PQZ524250 QAV524250 QKR524250 QUN524250 REJ524250 ROF524250 RYB524250 SHX524250 SRT524250 TBP524250 TLL524250 TVH524250 UFD524250 UOZ524250 UYV524250 VIR524250 VSN524250 WCJ524250 WMF524250 WWB524250 JP589786 TL589786 ADH589786 AND589786 AWZ589786 BGV589786 BQR589786 CAN589786 CKJ589786 CUF589786 DEB589786 DNX589786 DXT589786 EHP589786 ERL589786 FBH589786 FLD589786 FUZ589786 GEV589786 GOR589786 GYN589786 HIJ589786 HSF589786 ICB589786 ILX589786 IVT589786 JFP589786 JPL589786 JZH589786 KJD589786 KSZ589786 LCV589786 LMR589786 LWN589786 MGJ589786 MQF589786 NAB589786 NJX589786 NTT589786 ODP589786 ONL589786 OXH589786 PHD589786 PQZ589786 QAV589786 QKR589786 QUN589786 REJ589786 ROF589786 RYB589786 SHX589786 SRT589786 TBP589786 TLL589786 TVH589786 UFD589786 UOZ589786 UYV589786 VIR589786 VSN589786 WCJ589786 WMF589786 WWB589786 JP655322 TL655322 ADH655322 AND655322 AWZ655322 BGV655322 BQR655322 CAN655322 CKJ655322 CUF655322 DEB655322 DNX655322 DXT655322 EHP655322 ERL655322 FBH655322 FLD655322 FUZ655322 GEV655322 GOR655322 GYN655322 HIJ655322 HSF655322 ICB655322 ILX655322 IVT655322 JFP655322 JPL655322 JZH655322 KJD655322 KSZ655322 LCV655322 LMR655322 LWN655322 MGJ655322 MQF655322 NAB655322 NJX655322 NTT655322 ODP655322 ONL655322 OXH655322 PHD655322 PQZ655322 QAV655322 QKR655322 QUN655322 REJ655322 ROF655322 RYB655322 SHX655322 SRT655322 TBP655322 TLL655322 TVH655322 UFD655322 UOZ655322 UYV655322 VIR655322 VSN655322 WCJ655322 WMF655322 WWB655322 JP720858 TL720858 ADH720858 AND720858 AWZ720858 BGV720858 BQR720858 CAN720858 CKJ720858 CUF720858 DEB720858 DNX720858 DXT720858 EHP720858 ERL720858 FBH720858 FLD720858 FUZ720858 GEV720858 GOR720858 GYN720858 HIJ720858 HSF720858 ICB720858 ILX720858 IVT720858 JFP720858 JPL720858 JZH720858 KJD720858 KSZ720858 LCV720858 LMR720858 LWN720858 MGJ720858 MQF720858 NAB720858 NJX720858 NTT720858 ODP720858 ONL720858 OXH720858 PHD720858 PQZ720858 QAV720858 QKR720858 QUN720858 REJ720858 ROF720858 RYB720858 SHX720858 SRT720858 TBP720858 TLL720858 TVH720858 UFD720858 UOZ720858 UYV720858 VIR720858 VSN720858 WCJ720858 WMF720858 WWB720858 JP786394 TL786394 ADH786394 AND786394 AWZ786394 BGV786394 BQR786394 CAN786394 CKJ786394 CUF786394 DEB786394 DNX786394 DXT786394 EHP786394 ERL786394 FBH786394 FLD786394 FUZ786394 GEV786394 GOR786394 GYN786394 HIJ786394 HSF786394 ICB786394 ILX786394 IVT786394 JFP786394 JPL786394 JZH786394 KJD786394 KSZ786394 LCV786394 LMR786394 LWN786394 MGJ786394 MQF786394 NAB786394 NJX786394 NTT786394 ODP786394 ONL786394 OXH786394 PHD786394 PQZ786394 QAV786394 QKR786394 QUN786394 REJ786394 ROF786394 RYB786394 SHX786394 SRT786394 TBP786394 TLL786394 TVH786394 UFD786394 UOZ786394 UYV786394 VIR786394 VSN786394 WCJ786394 WMF786394 WWB786394 JP851930 TL851930 ADH851930 AND851930 AWZ851930 BGV851930 BQR851930 CAN851930 CKJ851930 CUF851930 DEB851930 DNX851930 DXT851930 EHP851930 ERL851930 FBH851930 FLD851930 FUZ851930 GEV851930 GOR851930 GYN851930 HIJ851930 HSF851930 ICB851930 ILX851930 IVT851930 JFP851930 JPL851930 JZH851930 KJD851930 KSZ851930 LCV851930 LMR851930 LWN851930 MGJ851930 MQF851930 NAB851930 NJX851930 NTT851930 ODP851930 ONL851930 OXH851930 PHD851930 PQZ851930 QAV851930 QKR851930 QUN851930 REJ851930 ROF851930 RYB851930 SHX851930 SRT851930 TBP851930 TLL851930 TVH851930 UFD851930 UOZ851930 UYV851930 VIR851930 VSN851930 WCJ851930 WMF851930 WWB851930 JP917466 TL917466 ADH917466 AND917466 AWZ917466 BGV917466 BQR917466 CAN917466 CKJ917466 CUF917466 DEB917466 DNX917466 DXT917466 EHP917466 ERL917466 FBH917466 FLD917466 FUZ917466 GEV917466 GOR917466 GYN917466 HIJ917466 HSF917466 ICB917466 ILX917466 IVT917466 JFP917466 JPL917466 JZH917466 KJD917466 KSZ917466 LCV917466 LMR917466 LWN917466 MGJ917466 MQF917466 NAB917466 NJX917466 NTT917466 ODP917466 ONL917466 OXH917466 PHD917466 PQZ917466 QAV917466 QKR917466 QUN917466 REJ917466 ROF917466 RYB917466 SHX917466 SRT917466 TBP917466 TLL917466 TVH917466 UFD917466 UOZ917466 UYV917466 VIR917466 VSN917466 WCJ917466 WMF917466 WWB917466 JP983002 TL983002 ADH983002 AND983002 AWZ983002 BGV983002 BQR983002 CAN983002 CKJ983002 CUF983002 DEB983002 DNX983002 DXT983002 EHP983002 ERL983002 FBH983002 FLD983002 FUZ983002 GEV983002 GOR983002 GYN983002 HIJ983002 HSF983002 ICB983002 ILX983002 IVT983002 JFP983002 JPL983002 JZH983002 KJD983002 KSZ983002 LCV983002 LMR983002 LWN983002 MGJ983002 MQF983002 NAB983002 NJX983002 NTT983002 ODP983002 ONL983002 OXH983002 PHD983002 PQZ983002 QAV983002 QKR983002 QUN983002 REJ983002 ROF983002 RYB983002 SHX983002 SRT983002 TBP983002 TLL983002 TVH983002 UFD983002 UOZ983002 UYV983002 VIR983002 VSN983002 WCJ983002 WMF983002 WWB983002"/>
    <dataValidation allowBlank="1" showInputMessage="1" showErrorMessage="1" prompt="-6.294484" sqref="JR65498 TN65498 ADJ65498 ANF65498 AXB65498 BGX65498 BQT65498 CAP65498 CKL65498 CUH65498 DED65498 DNZ65498 DXV65498 EHR65498 ERN65498 FBJ65498 FLF65498 FVB65498 GEX65498 GOT65498 GYP65498 HIL65498 HSH65498 ICD65498 ILZ65498 IVV65498 JFR65498 JPN65498 JZJ65498 KJF65498 KTB65498 LCX65498 LMT65498 LWP65498 MGL65498 MQH65498 NAD65498 NJZ65498 NTV65498 ODR65498 ONN65498 OXJ65498 PHF65498 PRB65498 QAX65498 QKT65498 QUP65498 REL65498 ROH65498 RYD65498 SHZ65498 SRV65498 TBR65498 TLN65498 TVJ65498 UFF65498 UPB65498 UYX65498 VIT65498 VSP65498 WCL65498 WMH65498 WWD65498 JR131034 TN131034 ADJ131034 ANF131034 AXB131034 BGX131034 BQT131034 CAP131034 CKL131034 CUH131034 DED131034 DNZ131034 DXV131034 EHR131034 ERN131034 FBJ131034 FLF131034 FVB131034 GEX131034 GOT131034 GYP131034 HIL131034 HSH131034 ICD131034 ILZ131034 IVV131034 JFR131034 JPN131034 JZJ131034 KJF131034 KTB131034 LCX131034 LMT131034 LWP131034 MGL131034 MQH131034 NAD131034 NJZ131034 NTV131034 ODR131034 ONN131034 OXJ131034 PHF131034 PRB131034 QAX131034 QKT131034 QUP131034 REL131034 ROH131034 RYD131034 SHZ131034 SRV131034 TBR131034 TLN131034 TVJ131034 UFF131034 UPB131034 UYX131034 VIT131034 VSP131034 WCL131034 WMH131034 WWD131034 JR196570 TN196570 ADJ196570 ANF196570 AXB196570 BGX196570 BQT196570 CAP196570 CKL196570 CUH196570 DED196570 DNZ196570 DXV196570 EHR196570 ERN196570 FBJ196570 FLF196570 FVB196570 GEX196570 GOT196570 GYP196570 HIL196570 HSH196570 ICD196570 ILZ196570 IVV196570 JFR196570 JPN196570 JZJ196570 KJF196570 KTB196570 LCX196570 LMT196570 LWP196570 MGL196570 MQH196570 NAD196570 NJZ196570 NTV196570 ODR196570 ONN196570 OXJ196570 PHF196570 PRB196570 QAX196570 QKT196570 QUP196570 REL196570 ROH196570 RYD196570 SHZ196570 SRV196570 TBR196570 TLN196570 TVJ196570 UFF196570 UPB196570 UYX196570 VIT196570 VSP196570 WCL196570 WMH196570 WWD196570 JR262106 TN262106 ADJ262106 ANF262106 AXB262106 BGX262106 BQT262106 CAP262106 CKL262106 CUH262106 DED262106 DNZ262106 DXV262106 EHR262106 ERN262106 FBJ262106 FLF262106 FVB262106 GEX262106 GOT262106 GYP262106 HIL262106 HSH262106 ICD262106 ILZ262106 IVV262106 JFR262106 JPN262106 JZJ262106 KJF262106 KTB262106 LCX262106 LMT262106 LWP262106 MGL262106 MQH262106 NAD262106 NJZ262106 NTV262106 ODR262106 ONN262106 OXJ262106 PHF262106 PRB262106 QAX262106 QKT262106 QUP262106 REL262106 ROH262106 RYD262106 SHZ262106 SRV262106 TBR262106 TLN262106 TVJ262106 UFF262106 UPB262106 UYX262106 VIT262106 VSP262106 WCL262106 WMH262106 WWD262106 JR327642 TN327642 ADJ327642 ANF327642 AXB327642 BGX327642 BQT327642 CAP327642 CKL327642 CUH327642 DED327642 DNZ327642 DXV327642 EHR327642 ERN327642 FBJ327642 FLF327642 FVB327642 GEX327642 GOT327642 GYP327642 HIL327642 HSH327642 ICD327642 ILZ327642 IVV327642 JFR327642 JPN327642 JZJ327642 KJF327642 KTB327642 LCX327642 LMT327642 LWP327642 MGL327642 MQH327642 NAD327642 NJZ327642 NTV327642 ODR327642 ONN327642 OXJ327642 PHF327642 PRB327642 QAX327642 QKT327642 QUP327642 REL327642 ROH327642 RYD327642 SHZ327642 SRV327642 TBR327642 TLN327642 TVJ327642 UFF327642 UPB327642 UYX327642 VIT327642 VSP327642 WCL327642 WMH327642 WWD327642 JR393178 TN393178 ADJ393178 ANF393178 AXB393178 BGX393178 BQT393178 CAP393178 CKL393178 CUH393178 DED393178 DNZ393178 DXV393178 EHR393178 ERN393178 FBJ393178 FLF393178 FVB393178 GEX393178 GOT393178 GYP393178 HIL393178 HSH393178 ICD393178 ILZ393178 IVV393178 JFR393178 JPN393178 JZJ393178 KJF393178 KTB393178 LCX393178 LMT393178 LWP393178 MGL393178 MQH393178 NAD393178 NJZ393178 NTV393178 ODR393178 ONN393178 OXJ393178 PHF393178 PRB393178 QAX393178 QKT393178 QUP393178 REL393178 ROH393178 RYD393178 SHZ393178 SRV393178 TBR393178 TLN393178 TVJ393178 UFF393178 UPB393178 UYX393178 VIT393178 VSP393178 WCL393178 WMH393178 WWD393178 JR458714 TN458714 ADJ458714 ANF458714 AXB458714 BGX458714 BQT458714 CAP458714 CKL458714 CUH458714 DED458714 DNZ458714 DXV458714 EHR458714 ERN458714 FBJ458714 FLF458714 FVB458714 GEX458714 GOT458714 GYP458714 HIL458714 HSH458714 ICD458714 ILZ458714 IVV458714 JFR458714 JPN458714 JZJ458714 KJF458714 KTB458714 LCX458714 LMT458714 LWP458714 MGL458714 MQH458714 NAD458714 NJZ458714 NTV458714 ODR458714 ONN458714 OXJ458714 PHF458714 PRB458714 QAX458714 QKT458714 QUP458714 REL458714 ROH458714 RYD458714 SHZ458714 SRV458714 TBR458714 TLN458714 TVJ458714 UFF458714 UPB458714 UYX458714 VIT458714 VSP458714 WCL458714 WMH458714 WWD458714 JR524250 TN524250 ADJ524250 ANF524250 AXB524250 BGX524250 BQT524250 CAP524250 CKL524250 CUH524250 DED524250 DNZ524250 DXV524250 EHR524250 ERN524250 FBJ524250 FLF524250 FVB524250 GEX524250 GOT524250 GYP524250 HIL524250 HSH524250 ICD524250 ILZ524250 IVV524250 JFR524250 JPN524250 JZJ524250 KJF524250 KTB524250 LCX524250 LMT524250 LWP524250 MGL524250 MQH524250 NAD524250 NJZ524250 NTV524250 ODR524250 ONN524250 OXJ524250 PHF524250 PRB524250 QAX524250 QKT524250 QUP524250 REL524250 ROH524250 RYD524250 SHZ524250 SRV524250 TBR524250 TLN524250 TVJ524250 UFF524250 UPB524250 UYX524250 VIT524250 VSP524250 WCL524250 WMH524250 WWD524250 JR589786 TN589786 ADJ589786 ANF589786 AXB589786 BGX589786 BQT589786 CAP589786 CKL589786 CUH589786 DED589786 DNZ589786 DXV589786 EHR589786 ERN589786 FBJ589786 FLF589786 FVB589786 GEX589786 GOT589786 GYP589786 HIL589786 HSH589786 ICD589786 ILZ589786 IVV589786 JFR589786 JPN589786 JZJ589786 KJF589786 KTB589786 LCX589786 LMT589786 LWP589786 MGL589786 MQH589786 NAD589786 NJZ589786 NTV589786 ODR589786 ONN589786 OXJ589786 PHF589786 PRB589786 QAX589786 QKT589786 QUP589786 REL589786 ROH589786 RYD589786 SHZ589786 SRV589786 TBR589786 TLN589786 TVJ589786 UFF589786 UPB589786 UYX589786 VIT589786 VSP589786 WCL589786 WMH589786 WWD589786 JR655322 TN655322 ADJ655322 ANF655322 AXB655322 BGX655322 BQT655322 CAP655322 CKL655322 CUH655322 DED655322 DNZ655322 DXV655322 EHR655322 ERN655322 FBJ655322 FLF655322 FVB655322 GEX655322 GOT655322 GYP655322 HIL655322 HSH655322 ICD655322 ILZ655322 IVV655322 JFR655322 JPN655322 JZJ655322 KJF655322 KTB655322 LCX655322 LMT655322 LWP655322 MGL655322 MQH655322 NAD655322 NJZ655322 NTV655322 ODR655322 ONN655322 OXJ655322 PHF655322 PRB655322 QAX655322 QKT655322 QUP655322 REL655322 ROH655322 RYD655322 SHZ655322 SRV655322 TBR655322 TLN655322 TVJ655322 UFF655322 UPB655322 UYX655322 VIT655322 VSP655322 WCL655322 WMH655322 WWD655322 JR720858 TN720858 ADJ720858 ANF720858 AXB720858 BGX720858 BQT720858 CAP720858 CKL720858 CUH720858 DED720858 DNZ720858 DXV720858 EHR720858 ERN720858 FBJ720858 FLF720858 FVB720858 GEX720858 GOT720858 GYP720858 HIL720858 HSH720858 ICD720858 ILZ720858 IVV720858 JFR720858 JPN720858 JZJ720858 KJF720858 KTB720858 LCX720858 LMT720858 LWP720858 MGL720858 MQH720858 NAD720858 NJZ720858 NTV720858 ODR720858 ONN720858 OXJ720858 PHF720858 PRB720858 QAX720858 QKT720858 QUP720858 REL720858 ROH720858 RYD720858 SHZ720858 SRV720858 TBR720858 TLN720858 TVJ720858 UFF720858 UPB720858 UYX720858 VIT720858 VSP720858 WCL720858 WMH720858 WWD720858 JR786394 TN786394 ADJ786394 ANF786394 AXB786394 BGX786394 BQT786394 CAP786394 CKL786394 CUH786394 DED786394 DNZ786394 DXV786394 EHR786394 ERN786394 FBJ786394 FLF786394 FVB786394 GEX786394 GOT786394 GYP786394 HIL786394 HSH786394 ICD786394 ILZ786394 IVV786394 JFR786394 JPN786394 JZJ786394 KJF786394 KTB786394 LCX786394 LMT786394 LWP786394 MGL786394 MQH786394 NAD786394 NJZ786394 NTV786394 ODR786394 ONN786394 OXJ786394 PHF786394 PRB786394 QAX786394 QKT786394 QUP786394 REL786394 ROH786394 RYD786394 SHZ786394 SRV786394 TBR786394 TLN786394 TVJ786394 UFF786394 UPB786394 UYX786394 VIT786394 VSP786394 WCL786394 WMH786394 WWD786394 JR851930 TN851930 ADJ851930 ANF851930 AXB851930 BGX851930 BQT851930 CAP851930 CKL851930 CUH851930 DED851930 DNZ851930 DXV851930 EHR851930 ERN851930 FBJ851930 FLF851930 FVB851930 GEX851930 GOT851930 GYP851930 HIL851930 HSH851930 ICD851930 ILZ851930 IVV851930 JFR851930 JPN851930 JZJ851930 KJF851930 KTB851930 LCX851930 LMT851930 LWP851930 MGL851930 MQH851930 NAD851930 NJZ851930 NTV851930 ODR851930 ONN851930 OXJ851930 PHF851930 PRB851930 QAX851930 QKT851930 QUP851930 REL851930 ROH851930 RYD851930 SHZ851930 SRV851930 TBR851930 TLN851930 TVJ851930 UFF851930 UPB851930 UYX851930 VIT851930 VSP851930 WCL851930 WMH851930 WWD851930 JR917466 TN917466 ADJ917466 ANF917466 AXB917466 BGX917466 BQT917466 CAP917466 CKL917466 CUH917466 DED917466 DNZ917466 DXV917466 EHR917466 ERN917466 FBJ917466 FLF917466 FVB917466 GEX917466 GOT917466 GYP917466 HIL917466 HSH917466 ICD917466 ILZ917466 IVV917466 JFR917466 JPN917466 JZJ917466 KJF917466 KTB917466 LCX917466 LMT917466 LWP917466 MGL917466 MQH917466 NAD917466 NJZ917466 NTV917466 ODR917466 ONN917466 OXJ917466 PHF917466 PRB917466 QAX917466 QKT917466 QUP917466 REL917466 ROH917466 RYD917466 SHZ917466 SRV917466 TBR917466 TLN917466 TVJ917466 UFF917466 UPB917466 UYX917466 VIT917466 VSP917466 WCL917466 WMH917466 WWD917466 JR983002 TN983002 ADJ983002 ANF983002 AXB983002 BGX983002 BQT983002 CAP983002 CKL983002 CUH983002 DED983002 DNZ983002 DXV983002 EHR983002 ERN983002 FBJ983002 FLF983002 FVB983002 GEX983002 GOT983002 GYP983002 HIL983002 HSH983002 ICD983002 ILZ983002 IVV983002 JFR983002 JPN983002 JZJ983002 KJF983002 KTB983002 LCX983002 LMT983002 LWP983002 MGL983002 MQH983002 NAD983002 NJZ983002 NTV983002 ODR983002 ONN983002 OXJ983002 PHF983002 PRB983002 QAX983002 QKT983002 QUP983002 REL983002 ROH983002 RYD983002 SHZ983002 SRV983002 TBR983002 TLN983002 TVJ983002 UFF983002 UPB983002 UYX983002 VIT983002 VSP983002 WCL983002 WMH983002 WWD983002"/>
    <dataValidation allowBlank="1" showInputMessage="1" showErrorMessage="1" prompt="53° 20' 52.4436''" sqref="JP65502 TL65502 ADH65502 AND65502 AWZ65502 BGV65502 BQR65502 CAN65502 CKJ65502 CUF65502 DEB65502 DNX65502 DXT65502 EHP65502 ERL65502 FBH65502 FLD65502 FUZ65502 GEV65502 GOR65502 GYN65502 HIJ65502 HSF65502 ICB65502 ILX65502 IVT65502 JFP65502 JPL65502 JZH65502 KJD65502 KSZ65502 LCV65502 LMR65502 LWN65502 MGJ65502 MQF65502 NAB65502 NJX65502 NTT65502 ODP65502 ONL65502 OXH65502 PHD65502 PQZ65502 QAV65502 QKR65502 QUN65502 REJ65502 ROF65502 RYB65502 SHX65502 SRT65502 TBP65502 TLL65502 TVH65502 UFD65502 UOZ65502 UYV65502 VIR65502 VSN65502 WCJ65502 WMF65502 WWB65502 JP131038 TL131038 ADH131038 AND131038 AWZ131038 BGV131038 BQR131038 CAN131038 CKJ131038 CUF131038 DEB131038 DNX131038 DXT131038 EHP131038 ERL131038 FBH131038 FLD131038 FUZ131038 GEV131038 GOR131038 GYN131038 HIJ131038 HSF131038 ICB131038 ILX131038 IVT131038 JFP131038 JPL131038 JZH131038 KJD131038 KSZ131038 LCV131038 LMR131038 LWN131038 MGJ131038 MQF131038 NAB131038 NJX131038 NTT131038 ODP131038 ONL131038 OXH131038 PHD131038 PQZ131038 QAV131038 QKR131038 QUN131038 REJ131038 ROF131038 RYB131038 SHX131038 SRT131038 TBP131038 TLL131038 TVH131038 UFD131038 UOZ131038 UYV131038 VIR131038 VSN131038 WCJ131038 WMF131038 WWB131038 JP196574 TL196574 ADH196574 AND196574 AWZ196574 BGV196574 BQR196574 CAN196574 CKJ196574 CUF196574 DEB196574 DNX196574 DXT196574 EHP196574 ERL196574 FBH196574 FLD196574 FUZ196574 GEV196574 GOR196574 GYN196574 HIJ196574 HSF196574 ICB196574 ILX196574 IVT196574 JFP196574 JPL196574 JZH196574 KJD196574 KSZ196574 LCV196574 LMR196574 LWN196574 MGJ196574 MQF196574 NAB196574 NJX196574 NTT196574 ODP196574 ONL196574 OXH196574 PHD196574 PQZ196574 QAV196574 QKR196574 QUN196574 REJ196574 ROF196574 RYB196574 SHX196574 SRT196574 TBP196574 TLL196574 TVH196574 UFD196574 UOZ196574 UYV196574 VIR196574 VSN196574 WCJ196574 WMF196574 WWB196574 JP262110 TL262110 ADH262110 AND262110 AWZ262110 BGV262110 BQR262110 CAN262110 CKJ262110 CUF262110 DEB262110 DNX262110 DXT262110 EHP262110 ERL262110 FBH262110 FLD262110 FUZ262110 GEV262110 GOR262110 GYN262110 HIJ262110 HSF262110 ICB262110 ILX262110 IVT262110 JFP262110 JPL262110 JZH262110 KJD262110 KSZ262110 LCV262110 LMR262110 LWN262110 MGJ262110 MQF262110 NAB262110 NJX262110 NTT262110 ODP262110 ONL262110 OXH262110 PHD262110 PQZ262110 QAV262110 QKR262110 QUN262110 REJ262110 ROF262110 RYB262110 SHX262110 SRT262110 TBP262110 TLL262110 TVH262110 UFD262110 UOZ262110 UYV262110 VIR262110 VSN262110 WCJ262110 WMF262110 WWB262110 JP327646 TL327646 ADH327646 AND327646 AWZ327646 BGV327646 BQR327646 CAN327646 CKJ327646 CUF327646 DEB327646 DNX327646 DXT327646 EHP327646 ERL327646 FBH327646 FLD327646 FUZ327646 GEV327646 GOR327646 GYN327646 HIJ327646 HSF327646 ICB327646 ILX327646 IVT327646 JFP327646 JPL327646 JZH327646 KJD327646 KSZ327646 LCV327646 LMR327646 LWN327646 MGJ327646 MQF327646 NAB327646 NJX327646 NTT327646 ODP327646 ONL327646 OXH327646 PHD327646 PQZ327646 QAV327646 QKR327646 QUN327646 REJ327646 ROF327646 RYB327646 SHX327646 SRT327646 TBP327646 TLL327646 TVH327646 UFD327646 UOZ327646 UYV327646 VIR327646 VSN327646 WCJ327646 WMF327646 WWB327646 JP393182 TL393182 ADH393182 AND393182 AWZ393182 BGV393182 BQR393182 CAN393182 CKJ393182 CUF393182 DEB393182 DNX393182 DXT393182 EHP393182 ERL393182 FBH393182 FLD393182 FUZ393182 GEV393182 GOR393182 GYN393182 HIJ393182 HSF393182 ICB393182 ILX393182 IVT393182 JFP393182 JPL393182 JZH393182 KJD393182 KSZ393182 LCV393182 LMR393182 LWN393182 MGJ393182 MQF393182 NAB393182 NJX393182 NTT393182 ODP393182 ONL393182 OXH393182 PHD393182 PQZ393182 QAV393182 QKR393182 QUN393182 REJ393182 ROF393182 RYB393182 SHX393182 SRT393182 TBP393182 TLL393182 TVH393182 UFD393182 UOZ393182 UYV393182 VIR393182 VSN393182 WCJ393182 WMF393182 WWB393182 JP458718 TL458718 ADH458718 AND458718 AWZ458718 BGV458718 BQR458718 CAN458718 CKJ458718 CUF458718 DEB458718 DNX458718 DXT458718 EHP458718 ERL458718 FBH458718 FLD458718 FUZ458718 GEV458718 GOR458718 GYN458718 HIJ458718 HSF458718 ICB458718 ILX458718 IVT458718 JFP458718 JPL458718 JZH458718 KJD458718 KSZ458718 LCV458718 LMR458718 LWN458718 MGJ458718 MQF458718 NAB458718 NJX458718 NTT458718 ODP458718 ONL458718 OXH458718 PHD458718 PQZ458718 QAV458718 QKR458718 QUN458718 REJ458718 ROF458718 RYB458718 SHX458718 SRT458718 TBP458718 TLL458718 TVH458718 UFD458718 UOZ458718 UYV458718 VIR458718 VSN458718 WCJ458718 WMF458718 WWB458718 JP524254 TL524254 ADH524254 AND524254 AWZ524254 BGV524254 BQR524254 CAN524254 CKJ524254 CUF524254 DEB524254 DNX524254 DXT524254 EHP524254 ERL524254 FBH524254 FLD524254 FUZ524254 GEV524254 GOR524254 GYN524254 HIJ524254 HSF524254 ICB524254 ILX524254 IVT524254 JFP524254 JPL524254 JZH524254 KJD524254 KSZ524254 LCV524254 LMR524254 LWN524254 MGJ524254 MQF524254 NAB524254 NJX524254 NTT524254 ODP524254 ONL524254 OXH524254 PHD524254 PQZ524254 QAV524254 QKR524254 QUN524254 REJ524254 ROF524254 RYB524254 SHX524254 SRT524254 TBP524254 TLL524254 TVH524254 UFD524254 UOZ524254 UYV524254 VIR524254 VSN524254 WCJ524254 WMF524254 WWB524254 JP589790 TL589790 ADH589790 AND589790 AWZ589790 BGV589790 BQR589790 CAN589790 CKJ589790 CUF589790 DEB589790 DNX589790 DXT589790 EHP589790 ERL589790 FBH589790 FLD589790 FUZ589790 GEV589790 GOR589790 GYN589790 HIJ589790 HSF589790 ICB589790 ILX589790 IVT589790 JFP589790 JPL589790 JZH589790 KJD589790 KSZ589790 LCV589790 LMR589790 LWN589790 MGJ589790 MQF589790 NAB589790 NJX589790 NTT589790 ODP589790 ONL589790 OXH589790 PHD589790 PQZ589790 QAV589790 QKR589790 QUN589790 REJ589790 ROF589790 RYB589790 SHX589790 SRT589790 TBP589790 TLL589790 TVH589790 UFD589790 UOZ589790 UYV589790 VIR589790 VSN589790 WCJ589790 WMF589790 WWB589790 JP655326 TL655326 ADH655326 AND655326 AWZ655326 BGV655326 BQR655326 CAN655326 CKJ655326 CUF655326 DEB655326 DNX655326 DXT655326 EHP655326 ERL655326 FBH655326 FLD655326 FUZ655326 GEV655326 GOR655326 GYN655326 HIJ655326 HSF655326 ICB655326 ILX655326 IVT655326 JFP655326 JPL655326 JZH655326 KJD655326 KSZ655326 LCV655326 LMR655326 LWN655326 MGJ655326 MQF655326 NAB655326 NJX655326 NTT655326 ODP655326 ONL655326 OXH655326 PHD655326 PQZ655326 QAV655326 QKR655326 QUN655326 REJ655326 ROF655326 RYB655326 SHX655326 SRT655326 TBP655326 TLL655326 TVH655326 UFD655326 UOZ655326 UYV655326 VIR655326 VSN655326 WCJ655326 WMF655326 WWB655326 JP720862 TL720862 ADH720862 AND720862 AWZ720862 BGV720862 BQR720862 CAN720862 CKJ720862 CUF720862 DEB720862 DNX720862 DXT720862 EHP720862 ERL720862 FBH720862 FLD720862 FUZ720862 GEV720862 GOR720862 GYN720862 HIJ720862 HSF720862 ICB720862 ILX720862 IVT720862 JFP720862 JPL720862 JZH720862 KJD720862 KSZ720862 LCV720862 LMR720862 LWN720862 MGJ720862 MQF720862 NAB720862 NJX720862 NTT720862 ODP720862 ONL720862 OXH720862 PHD720862 PQZ720862 QAV720862 QKR720862 QUN720862 REJ720862 ROF720862 RYB720862 SHX720862 SRT720862 TBP720862 TLL720862 TVH720862 UFD720862 UOZ720862 UYV720862 VIR720862 VSN720862 WCJ720862 WMF720862 WWB720862 JP786398 TL786398 ADH786398 AND786398 AWZ786398 BGV786398 BQR786398 CAN786398 CKJ786398 CUF786398 DEB786398 DNX786398 DXT786398 EHP786398 ERL786398 FBH786398 FLD786398 FUZ786398 GEV786398 GOR786398 GYN786398 HIJ786398 HSF786398 ICB786398 ILX786398 IVT786398 JFP786398 JPL786398 JZH786398 KJD786398 KSZ786398 LCV786398 LMR786398 LWN786398 MGJ786398 MQF786398 NAB786398 NJX786398 NTT786398 ODP786398 ONL786398 OXH786398 PHD786398 PQZ786398 QAV786398 QKR786398 QUN786398 REJ786398 ROF786398 RYB786398 SHX786398 SRT786398 TBP786398 TLL786398 TVH786398 UFD786398 UOZ786398 UYV786398 VIR786398 VSN786398 WCJ786398 WMF786398 WWB786398 JP851934 TL851934 ADH851934 AND851934 AWZ851934 BGV851934 BQR851934 CAN851934 CKJ851934 CUF851934 DEB851934 DNX851934 DXT851934 EHP851934 ERL851934 FBH851934 FLD851934 FUZ851934 GEV851934 GOR851934 GYN851934 HIJ851934 HSF851934 ICB851934 ILX851934 IVT851934 JFP851934 JPL851934 JZH851934 KJD851934 KSZ851934 LCV851934 LMR851934 LWN851934 MGJ851934 MQF851934 NAB851934 NJX851934 NTT851934 ODP851934 ONL851934 OXH851934 PHD851934 PQZ851934 QAV851934 QKR851934 QUN851934 REJ851934 ROF851934 RYB851934 SHX851934 SRT851934 TBP851934 TLL851934 TVH851934 UFD851934 UOZ851934 UYV851934 VIR851934 VSN851934 WCJ851934 WMF851934 WWB851934 JP917470 TL917470 ADH917470 AND917470 AWZ917470 BGV917470 BQR917470 CAN917470 CKJ917470 CUF917470 DEB917470 DNX917470 DXT917470 EHP917470 ERL917470 FBH917470 FLD917470 FUZ917470 GEV917470 GOR917470 GYN917470 HIJ917470 HSF917470 ICB917470 ILX917470 IVT917470 JFP917470 JPL917470 JZH917470 KJD917470 KSZ917470 LCV917470 LMR917470 LWN917470 MGJ917470 MQF917470 NAB917470 NJX917470 NTT917470 ODP917470 ONL917470 OXH917470 PHD917470 PQZ917470 QAV917470 QKR917470 QUN917470 REJ917470 ROF917470 RYB917470 SHX917470 SRT917470 TBP917470 TLL917470 TVH917470 UFD917470 UOZ917470 UYV917470 VIR917470 VSN917470 WCJ917470 WMF917470 WWB917470 JP983006 TL983006 ADH983006 AND983006 AWZ983006 BGV983006 BQR983006 CAN983006 CKJ983006 CUF983006 DEB983006 DNX983006 DXT983006 EHP983006 ERL983006 FBH983006 FLD983006 FUZ983006 GEV983006 GOR983006 GYN983006 HIJ983006 HSF983006 ICB983006 ILX983006 IVT983006 JFP983006 JPL983006 JZH983006 KJD983006 KSZ983006 LCV983006 LMR983006 LWN983006 MGJ983006 MQF983006 NAB983006 NJX983006 NTT983006 ODP983006 ONL983006 OXH983006 PHD983006 PQZ983006 QAV983006 QKR983006 QUN983006 REJ983006 ROF983006 RYB983006 SHX983006 SRT983006 TBP983006 TLL983006 TVH983006 UFD983006 UOZ983006 UYV983006 VIR983006 VSN983006 WCJ983006 WMF983006 WWB983006"/>
    <dataValidation allowBlank="1" showInputMessage="1" showErrorMessage="1" prompt="6° 17' 40.1424''" sqref="JR65502 TN65502 ADJ65502 ANF65502 AXB65502 BGX65502 BQT65502 CAP65502 CKL65502 CUH65502 DED65502 DNZ65502 DXV65502 EHR65502 ERN65502 FBJ65502 FLF65502 FVB65502 GEX65502 GOT65502 GYP65502 HIL65502 HSH65502 ICD65502 ILZ65502 IVV65502 JFR65502 JPN65502 JZJ65502 KJF65502 KTB65502 LCX65502 LMT65502 LWP65502 MGL65502 MQH65502 NAD65502 NJZ65502 NTV65502 ODR65502 ONN65502 OXJ65502 PHF65502 PRB65502 QAX65502 QKT65502 QUP65502 REL65502 ROH65502 RYD65502 SHZ65502 SRV65502 TBR65502 TLN65502 TVJ65502 UFF65502 UPB65502 UYX65502 VIT65502 VSP65502 WCL65502 WMH65502 WWD65502 JR131038 TN131038 ADJ131038 ANF131038 AXB131038 BGX131038 BQT131038 CAP131038 CKL131038 CUH131038 DED131038 DNZ131038 DXV131038 EHR131038 ERN131038 FBJ131038 FLF131038 FVB131038 GEX131038 GOT131038 GYP131038 HIL131038 HSH131038 ICD131038 ILZ131038 IVV131038 JFR131038 JPN131038 JZJ131038 KJF131038 KTB131038 LCX131038 LMT131038 LWP131038 MGL131038 MQH131038 NAD131038 NJZ131038 NTV131038 ODR131038 ONN131038 OXJ131038 PHF131038 PRB131038 QAX131038 QKT131038 QUP131038 REL131038 ROH131038 RYD131038 SHZ131038 SRV131038 TBR131038 TLN131038 TVJ131038 UFF131038 UPB131038 UYX131038 VIT131038 VSP131038 WCL131038 WMH131038 WWD131038 JR196574 TN196574 ADJ196574 ANF196574 AXB196574 BGX196574 BQT196574 CAP196574 CKL196574 CUH196574 DED196574 DNZ196574 DXV196574 EHR196574 ERN196574 FBJ196574 FLF196574 FVB196574 GEX196574 GOT196574 GYP196574 HIL196574 HSH196574 ICD196574 ILZ196574 IVV196574 JFR196574 JPN196574 JZJ196574 KJF196574 KTB196574 LCX196574 LMT196574 LWP196574 MGL196574 MQH196574 NAD196574 NJZ196574 NTV196574 ODR196574 ONN196574 OXJ196574 PHF196574 PRB196574 QAX196574 QKT196574 QUP196574 REL196574 ROH196574 RYD196574 SHZ196574 SRV196574 TBR196574 TLN196574 TVJ196574 UFF196574 UPB196574 UYX196574 VIT196574 VSP196574 WCL196574 WMH196574 WWD196574 JR262110 TN262110 ADJ262110 ANF262110 AXB262110 BGX262110 BQT262110 CAP262110 CKL262110 CUH262110 DED262110 DNZ262110 DXV262110 EHR262110 ERN262110 FBJ262110 FLF262110 FVB262110 GEX262110 GOT262110 GYP262110 HIL262110 HSH262110 ICD262110 ILZ262110 IVV262110 JFR262110 JPN262110 JZJ262110 KJF262110 KTB262110 LCX262110 LMT262110 LWP262110 MGL262110 MQH262110 NAD262110 NJZ262110 NTV262110 ODR262110 ONN262110 OXJ262110 PHF262110 PRB262110 QAX262110 QKT262110 QUP262110 REL262110 ROH262110 RYD262110 SHZ262110 SRV262110 TBR262110 TLN262110 TVJ262110 UFF262110 UPB262110 UYX262110 VIT262110 VSP262110 WCL262110 WMH262110 WWD262110 JR327646 TN327646 ADJ327646 ANF327646 AXB327646 BGX327646 BQT327646 CAP327646 CKL327646 CUH327646 DED327646 DNZ327646 DXV327646 EHR327646 ERN327646 FBJ327646 FLF327646 FVB327646 GEX327646 GOT327646 GYP327646 HIL327646 HSH327646 ICD327646 ILZ327646 IVV327646 JFR327646 JPN327646 JZJ327646 KJF327646 KTB327646 LCX327646 LMT327646 LWP327646 MGL327646 MQH327646 NAD327646 NJZ327646 NTV327646 ODR327646 ONN327646 OXJ327646 PHF327646 PRB327646 QAX327646 QKT327646 QUP327646 REL327646 ROH327646 RYD327646 SHZ327646 SRV327646 TBR327646 TLN327646 TVJ327646 UFF327646 UPB327646 UYX327646 VIT327646 VSP327646 WCL327646 WMH327646 WWD327646 JR393182 TN393182 ADJ393182 ANF393182 AXB393182 BGX393182 BQT393182 CAP393182 CKL393182 CUH393182 DED393182 DNZ393182 DXV393182 EHR393182 ERN393182 FBJ393182 FLF393182 FVB393182 GEX393182 GOT393182 GYP393182 HIL393182 HSH393182 ICD393182 ILZ393182 IVV393182 JFR393182 JPN393182 JZJ393182 KJF393182 KTB393182 LCX393182 LMT393182 LWP393182 MGL393182 MQH393182 NAD393182 NJZ393182 NTV393182 ODR393182 ONN393182 OXJ393182 PHF393182 PRB393182 QAX393182 QKT393182 QUP393182 REL393182 ROH393182 RYD393182 SHZ393182 SRV393182 TBR393182 TLN393182 TVJ393182 UFF393182 UPB393182 UYX393182 VIT393182 VSP393182 WCL393182 WMH393182 WWD393182 JR458718 TN458718 ADJ458718 ANF458718 AXB458718 BGX458718 BQT458718 CAP458718 CKL458718 CUH458718 DED458718 DNZ458718 DXV458718 EHR458718 ERN458718 FBJ458718 FLF458718 FVB458718 GEX458718 GOT458718 GYP458718 HIL458718 HSH458718 ICD458718 ILZ458718 IVV458718 JFR458718 JPN458718 JZJ458718 KJF458718 KTB458718 LCX458718 LMT458718 LWP458718 MGL458718 MQH458718 NAD458718 NJZ458718 NTV458718 ODR458718 ONN458718 OXJ458718 PHF458718 PRB458718 QAX458718 QKT458718 QUP458718 REL458718 ROH458718 RYD458718 SHZ458718 SRV458718 TBR458718 TLN458718 TVJ458718 UFF458718 UPB458718 UYX458718 VIT458718 VSP458718 WCL458718 WMH458718 WWD458718 JR524254 TN524254 ADJ524254 ANF524254 AXB524254 BGX524254 BQT524254 CAP524254 CKL524254 CUH524254 DED524254 DNZ524254 DXV524254 EHR524254 ERN524254 FBJ524254 FLF524254 FVB524254 GEX524254 GOT524254 GYP524254 HIL524254 HSH524254 ICD524254 ILZ524254 IVV524254 JFR524254 JPN524254 JZJ524254 KJF524254 KTB524254 LCX524254 LMT524254 LWP524254 MGL524254 MQH524254 NAD524254 NJZ524254 NTV524254 ODR524254 ONN524254 OXJ524254 PHF524254 PRB524254 QAX524254 QKT524254 QUP524254 REL524254 ROH524254 RYD524254 SHZ524254 SRV524254 TBR524254 TLN524254 TVJ524254 UFF524254 UPB524254 UYX524254 VIT524254 VSP524254 WCL524254 WMH524254 WWD524254 JR589790 TN589790 ADJ589790 ANF589790 AXB589790 BGX589790 BQT589790 CAP589790 CKL589790 CUH589790 DED589790 DNZ589790 DXV589790 EHR589790 ERN589790 FBJ589790 FLF589790 FVB589790 GEX589790 GOT589790 GYP589790 HIL589790 HSH589790 ICD589790 ILZ589790 IVV589790 JFR589790 JPN589790 JZJ589790 KJF589790 KTB589790 LCX589790 LMT589790 LWP589790 MGL589790 MQH589790 NAD589790 NJZ589790 NTV589790 ODR589790 ONN589790 OXJ589790 PHF589790 PRB589790 QAX589790 QKT589790 QUP589790 REL589790 ROH589790 RYD589790 SHZ589790 SRV589790 TBR589790 TLN589790 TVJ589790 UFF589790 UPB589790 UYX589790 VIT589790 VSP589790 WCL589790 WMH589790 WWD589790 JR655326 TN655326 ADJ655326 ANF655326 AXB655326 BGX655326 BQT655326 CAP655326 CKL655326 CUH655326 DED655326 DNZ655326 DXV655326 EHR655326 ERN655326 FBJ655326 FLF655326 FVB655326 GEX655326 GOT655326 GYP655326 HIL655326 HSH655326 ICD655326 ILZ655326 IVV655326 JFR655326 JPN655326 JZJ655326 KJF655326 KTB655326 LCX655326 LMT655326 LWP655326 MGL655326 MQH655326 NAD655326 NJZ655326 NTV655326 ODR655326 ONN655326 OXJ655326 PHF655326 PRB655326 QAX655326 QKT655326 QUP655326 REL655326 ROH655326 RYD655326 SHZ655326 SRV655326 TBR655326 TLN655326 TVJ655326 UFF655326 UPB655326 UYX655326 VIT655326 VSP655326 WCL655326 WMH655326 WWD655326 JR720862 TN720862 ADJ720862 ANF720862 AXB720862 BGX720862 BQT720862 CAP720862 CKL720862 CUH720862 DED720862 DNZ720862 DXV720862 EHR720862 ERN720862 FBJ720862 FLF720862 FVB720862 GEX720862 GOT720862 GYP720862 HIL720862 HSH720862 ICD720862 ILZ720862 IVV720862 JFR720862 JPN720862 JZJ720862 KJF720862 KTB720862 LCX720862 LMT720862 LWP720862 MGL720862 MQH720862 NAD720862 NJZ720862 NTV720862 ODR720862 ONN720862 OXJ720862 PHF720862 PRB720862 QAX720862 QKT720862 QUP720862 REL720862 ROH720862 RYD720862 SHZ720862 SRV720862 TBR720862 TLN720862 TVJ720862 UFF720862 UPB720862 UYX720862 VIT720862 VSP720862 WCL720862 WMH720862 WWD720862 JR786398 TN786398 ADJ786398 ANF786398 AXB786398 BGX786398 BQT786398 CAP786398 CKL786398 CUH786398 DED786398 DNZ786398 DXV786398 EHR786398 ERN786398 FBJ786398 FLF786398 FVB786398 GEX786398 GOT786398 GYP786398 HIL786398 HSH786398 ICD786398 ILZ786398 IVV786398 JFR786398 JPN786398 JZJ786398 KJF786398 KTB786398 LCX786398 LMT786398 LWP786398 MGL786398 MQH786398 NAD786398 NJZ786398 NTV786398 ODR786398 ONN786398 OXJ786398 PHF786398 PRB786398 QAX786398 QKT786398 QUP786398 REL786398 ROH786398 RYD786398 SHZ786398 SRV786398 TBR786398 TLN786398 TVJ786398 UFF786398 UPB786398 UYX786398 VIT786398 VSP786398 WCL786398 WMH786398 WWD786398 JR851934 TN851934 ADJ851934 ANF851934 AXB851934 BGX851934 BQT851934 CAP851934 CKL851934 CUH851934 DED851934 DNZ851934 DXV851934 EHR851934 ERN851934 FBJ851934 FLF851934 FVB851934 GEX851934 GOT851934 GYP851934 HIL851934 HSH851934 ICD851934 ILZ851934 IVV851934 JFR851934 JPN851934 JZJ851934 KJF851934 KTB851934 LCX851934 LMT851934 LWP851934 MGL851934 MQH851934 NAD851934 NJZ851934 NTV851934 ODR851934 ONN851934 OXJ851934 PHF851934 PRB851934 QAX851934 QKT851934 QUP851934 REL851934 ROH851934 RYD851934 SHZ851934 SRV851934 TBR851934 TLN851934 TVJ851934 UFF851934 UPB851934 UYX851934 VIT851934 VSP851934 WCL851934 WMH851934 WWD851934 JR917470 TN917470 ADJ917470 ANF917470 AXB917470 BGX917470 BQT917470 CAP917470 CKL917470 CUH917470 DED917470 DNZ917470 DXV917470 EHR917470 ERN917470 FBJ917470 FLF917470 FVB917470 GEX917470 GOT917470 GYP917470 HIL917470 HSH917470 ICD917470 ILZ917470 IVV917470 JFR917470 JPN917470 JZJ917470 KJF917470 KTB917470 LCX917470 LMT917470 LWP917470 MGL917470 MQH917470 NAD917470 NJZ917470 NTV917470 ODR917470 ONN917470 OXJ917470 PHF917470 PRB917470 QAX917470 QKT917470 QUP917470 REL917470 ROH917470 RYD917470 SHZ917470 SRV917470 TBR917470 TLN917470 TVJ917470 UFF917470 UPB917470 UYX917470 VIT917470 VSP917470 WCL917470 WMH917470 WWD917470 JR983006 TN983006 ADJ983006 ANF983006 AXB983006 BGX983006 BQT983006 CAP983006 CKL983006 CUH983006 DED983006 DNZ983006 DXV983006 EHR983006 ERN983006 FBJ983006 FLF983006 FVB983006 GEX983006 GOT983006 GYP983006 HIL983006 HSH983006 ICD983006 ILZ983006 IVV983006 JFR983006 JPN983006 JZJ983006 KJF983006 KTB983006 LCX983006 LMT983006 LWP983006 MGL983006 MQH983006 NAD983006 NJZ983006 NTV983006 ODR983006 ONN983006 OXJ983006 PHF983006 PRB983006 QAX983006 QKT983006 QUP983006 REL983006 ROH983006 RYD983006 SHZ983006 SRV983006 TBR983006 TLN983006 TVJ983006 UFF983006 UPB983006 UYX983006 VIT983006 VSP983006 WCL983006 WMH983006 WWD983006"/>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0"/>
  <sheetViews>
    <sheetView view="pageLayout" zoomScale="80" zoomScaleNormal="100" zoomScalePageLayoutView="80" workbookViewId="0">
      <selection activeCell="B3" sqref="B3"/>
    </sheetView>
  </sheetViews>
  <sheetFormatPr defaultRowHeight="15" customHeight="1" x14ac:dyDescent="0.3"/>
  <cols>
    <col min="1" max="1" width="2.6640625" style="2" customWidth="1"/>
    <col min="2" max="6" width="5.33203125" style="2" customWidth="1"/>
    <col min="7" max="7" width="4.6640625" style="2" customWidth="1"/>
    <col min="8" max="23" width="5.33203125" style="2" customWidth="1"/>
    <col min="24" max="24" width="13.5546875" style="2" customWidth="1"/>
    <col min="25" max="25" width="7.109375" style="2" customWidth="1"/>
    <col min="26" max="26" width="2.5546875" style="2" customWidth="1"/>
    <col min="27" max="29" width="7.6640625" style="2" customWidth="1"/>
    <col min="30" max="30" width="8.44140625" style="2" bestFit="1" customWidth="1"/>
    <col min="31" max="275" width="7.6640625" style="2" customWidth="1"/>
    <col min="276" max="276" width="14.33203125" style="2" customWidth="1"/>
    <col min="277" max="277" width="4" style="2" customWidth="1"/>
    <col min="278" max="278" width="14.33203125" style="2" customWidth="1"/>
    <col min="279" max="279" width="4" style="2" customWidth="1"/>
    <col min="280" max="531" width="7.6640625" style="2" customWidth="1"/>
    <col min="532" max="532" width="14.33203125" style="2" customWidth="1"/>
    <col min="533" max="533" width="4" style="2" customWidth="1"/>
    <col min="534" max="534" width="14.33203125" style="2" customWidth="1"/>
    <col min="535" max="535" width="4" style="2" customWidth="1"/>
    <col min="536" max="787" width="7.6640625" style="2" customWidth="1"/>
    <col min="788" max="788" width="14.33203125" style="2" customWidth="1"/>
    <col min="789" max="789" width="4" style="2" customWidth="1"/>
    <col min="790" max="790" width="14.33203125" style="2" customWidth="1"/>
    <col min="791" max="791" width="4" style="2" customWidth="1"/>
    <col min="792" max="1043" width="7.6640625" style="2" customWidth="1"/>
    <col min="1044" max="1044" width="14.33203125" style="2" customWidth="1"/>
    <col min="1045" max="1045" width="4" style="2" customWidth="1"/>
    <col min="1046" max="1046" width="14.33203125" style="2" customWidth="1"/>
    <col min="1047" max="1047" width="4" style="2" customWidth="1"/>
    <col min="1048" max="1299" width="7.6640625" style="2" customWidth="1"/>
    <col min="1300" max="1300" width="14.33203125" style="2" customWidth="1"/>
    <col min="1301" max="1301" width="4" style="2" customWidth="1"/>
    <col min="1302" max="1302" width="14.33203125" style="2" customWidth="1"/>
    <col min="1303" max="1303" width="4" style="2" customWidth="1"/>
    <col min="1304" max="1555" width="7.6640625" style="2" customWidth="1"/>
    <col min="1556" max="1556" width="14.33203125" style="2" customWidth="1"/>
    <col min="1557" max="1557" width="4" style="2" customWidth="1"/>
    <col min="1558" max="1558" width="14.33203125" style="2" customWidth="1"/>
    <col min="1559" max="1559" width="4" style="2" customWidth="1"/>
    <col min="1560" max="1811" width="7.6640625" style="2" customWidth="1"/>
    <col min="1812" max="1812" width="14.33203125" style="2" customWidth="1"/>
    <col min="1813" max="1813" width="4" style="2" customWidth="1"/>
    <col min="1814" max="1814" width="14.33203125" style="2" customWidth="1"/>
    <col min="1815" max="1815" width="4" style="2" customWidth="1"/>
    <col min="1816" max="2067" width="7.6640625" style="2" customWidth="1"/>
    <col min="2068" max="2068" width="14.33203125" style="2" customWidth="1"/>
    <col min="2069" max="2069" width="4" style="2" customWidth="1"/>
    <col min="2070" max="2070" width="14.33203125" style="2" customWidth="1"/>
    <col min="2071" max="2071" width="4" style="2" customWidth="1"/>
    <col min="2072" max="2323" width="7.6640625" style="2" customWidth="1"/>
    <col min="2324" max="2324" width="14.33203125" style="2" customWidth="1"/>
    <col min="2325" max="2325" width="4" style="2" customWidth="1"/>
    <col min="2326" max="2326" width="14.33203125" style="2" customWidth="1"/>
    <col min="2327" max="2327" width="4" style="2" customWidth="1"/>
    <col min="2328" max="2579" width="7.6640625" style="2" customWidth="1"/>
    <col min="2580" max="2580" width="14.33203125" style="2" customWidth="1"/>
    <col min="2581" max="2581" width="4" style="2" customWidth="1"/>
    <col min="2582" max="2582" width="14.33203125" style="2" customWidth="1"/>
    <col min="2583" max="2583" width="4" style="2" customWidth="1"/>
    <col min="2584" max="2835" width="7.6640625" style="2" customWidth="1"/>
    <col min="2836" max="2836" width="14.33203125" style="2" customWidth="1"/>
    <col min="2837" max="2837" width="4" style="2" customWidth="1"/>
    <col min="2838" max="2838" width="14.33203125" style="2" customWidth="1"/>
    <col min="2839" max="2839" width="4" style="2" customWidth="1"/>
    <col min="2840" max="3091" width="7.6640625" style="2" customWidth="1"/>
    <col min="3092" max="3092" width="14.33203125" style="2" customWidth="1"/>
    <col min="3093" max="3093" width="4" style="2" customWidth="1"/>
    <col min="3094" max="3094" width="14.33203125" style="2" customWidth="1"/>
    <col min="3095" max="3095" width="4" style="2" customWidth="1"/>
    <col min="3096" max="3347" width="7.6640625" style="2" customWidth="1"/>
    <col min="3348" max="3348" width="14.33203125" style="2" customWidth="1"/>
    <col min="3349" max="3349" width="4" style="2" customWidth="1"/>
    <col min="3350" max="3350" width="14.33203125" style="2" customWidth="1"/>
    <col min="3351" max="3351" width="4" style="2" customWidth="1"/>
    <col min="3352" max="3603" width="7.6640625" style="2" customWidth="1"/>
    <col min="3604" max="3604" width="14.33203125" style="2" customWidth="1"/>
    <col min="3605" max="3605" width="4" style="2" customWidth="1"/>
    <col min="3606" max="3606" width="14.33203125" style="2" customWidth="1"/>
    <col min="3607" max="3607" width="4" style="2" customWidth="1"/>
    <col min="3608" max="3859" width="7.6640625" style="2" customWidth="1"/>
    <col min="3860" max="3860" width="14.33203125" style="2" customWidth="1"/>
    <col min="3861" max="3861" width="4" style="2" customWidth="1"/>
    <col min="3862" max="3862" width="14.33203125" style="2" customWidth="1"/>
    <col min="3863" max="3863" width="4" style="2" customWidth="1"/>
    <col min="3864" max="4115" width="7.6640625" style="2" customWidth="1"/>
    <col min="4116" max="4116" width="14.33203125" style="2" customWidth="1"/>
    <col min="4117" max="4117" width="4" style="2" customWidth="1"/>
    <col min="4118" max="4118" width="14.33203125" style="2" customWidth="1"/>
    <col min="4119" max="4119" width="4" style="2" customWidth="1"/>
    <col min="4120" max="4371" width="7.6640625" style="2" customWidth="1"/>
    <col min="4372" max="4372" width="14.33203125" style="2" customWidth="1"/>
    <col min="4373" max="4373" width="4" style="2" customWidth="1"/>
    <col min="4374" max="4374" width="14.33203125" style="2" customWidth="1"/>
    <col min="4375" max="4375" width="4" style="2" customWidth="1"/>
    <col min="4376" max="4627" width="7.6640625" style="2" customWidth="1"/>
    <col min="4628" max="4628" width="14.33203125" style="2" customWidth="1"/>
    <col min="4629" max="4629" width="4" style="2" customWidth="1"/>
    <col min="4630" max="4630" width="14.33203125" style="2" customWidth="1"/>
    <col min="4631" max="4631" width="4" style="2" customWidth="1"/>
    <col min="4632" max="4883" width="7.6640625" style="2" customWidth="1"/>
    <col min="4884" max="4884" width="14.33203125" style="2" customWidth="1"/>
    <col min="4885" max="4885" width="4" style="2" customWidth="1"/>
    <col min="4886" max="4886" width="14.33203125" style="2" customWidth="1"/>
    <col min="4887" max="4887" width="4" style="2" customWidth="1"/>
    <col min="4888" max="5139" width="7.6640625" style="2" customWidth="1"/>
    <col min="5140" max="5140" width="14.33203125" style="2" customWidth="1"/>
    <col min="5141" max="5141" width="4" style="2" customWidth="1"/>
    <col min="5142" max="5142" width="14.33203125" style="2" customWidth="1"/>
    <col min="5143" max="5143" width="4" style="2" customWidth="1"/>
    <col min="5144" max="5395" width="7.6640625" style="2" customWidth="1"/>
    <col min="5396" max="5396" width="14.33203125" style="2" customWidth="1"/>
    <col min="5397" max="5397" width="4" style="2" customWidth="1"/>
    <col min="5398" max="5398" width="14.33203125" style="2" customWidth="1"/>
    <col min="5399" max="5399" width="4" style="2" customWidth="1"/>
    <col min="5400" max="5651" width="7.6640625" style="2" customWidth="1"/>
    <col min="5652" max="5652" width="14.33203125" style="2" customWidth="1"/>
    <col min="5653" max="5653" width="4" style="2" customWidth="1"/>
    <col min="5654" max="5654" width="14.33203125" style="2" customWidth="1"/>
    <col min="5655" max="5655" width="4" style="2" customWidth="1"/>
    <col min="5656" max="5907" width="7.6640625" style="2" customWidth="1"/>
    <col min="5908" max="5908" width="14.33203125" style="2" customWidth="1"/>
    <col min="5909" max="5909" width="4" style="2" customWidth="1"/>
    <col min="5910" max="5910" width="14.33203125" style="2" customWidth="1"/>
    <col min="5911" max="5911" width="4" style="2" customWidth="1"/>
    <col min="5912" max="6163" width="7.6640625" style="2" customWidth="1"/>
    <col min="6164" max="6164" width="14.33203125" style="2" customWidth="1"/>
    <col min="6165" max="6165" width="4" style="2" customWidth="1"/>
    <col min="6166" max="6166" width="14.33203125" style="2" customWidth="1"/>
    <col min="6167" max="6167" width="4" style="2" customWidth="1"/>
    <col min="6168" max="6419" width="7.6640625" style="2" customWidth="1"/>
    <col min="6420" max="6420" width="14.33203125" style="2" customWidth="1"/>
    <col min="6421" max="6421" width="4" style="2" customWidth="1"/>
    <col min="6422" max="6422" width="14.33203125" style="2" customWidth="1"/>
    <col min="6423" max="6423" width="4" style="2" customWidth="1"/>
    <col min="6424" max="6675" width="7.6640625" style="2" customWidth="1"/>
    <col min="6676" max="6676" width="14.33203125" style="2" customWidth="1"/>
    <col min="6677" max="6677" width="4" style="2" customWidth="1"/>
    <col min="6678" max="6678" width="14.33203125" style="2" customWidth="1"/>
    <col min="6679" max="6679" width="4" style="2" customWidth="1"/>
    <col min="6680" max="6931" width="7.6640625" style="2" customWidth="1"/>
    <col min="6932" max="6932" width="14.33203125" style="2" customWidth="1"/>
    <col min="6933" max="6933" width="4" style="2" customWidth="1"/>
    <col min="6934" max="6934" width="14.33203125" style="2" customWidth="1"/>
    <col min="6935" max="6935" width="4" style="2" customWidth="1"/>
    <col min="6936" max="7187" width="7.6640625" style="2" customWidth="1"/>
    <col min="7188" max="7188" width="14.33203125" style="2" customWidth="1"/>
    <col min="7189" max="7189" width="4" style="2" customWidth="1"/>
    <col min="7190" max="7190" width="14.33203125" style="2" customWidth="1"/>
    <col min="7191" max="7191" width="4" style="2" customWidth="1"/>
    <col min="7192" max="7443" width="7.6640625" style="2" customWidth="1"/>
    <col min="7444" max="7444" width="14.33203125" style="2" customWidth="1"/>
    <col min="7445" max="7445" width="4" style="2" customWidth="1"/>
    <col min="7446" max="7446" width="14.33203125" style="2" customWidth="1"/>
    <col min="7447" max="7447" width="4" style="2" customWidth="1"/>
    <col min="7448" max="7699" width="7.6640625" style="2" customWidth="1"/>
    <col min="7700" max="7700" width="14.33203125" style="2" customWidth="1"/>
    <col min="7701" max="7701" width="4" style="2" customWidth="1"/>
    <col min="7702" max="7702" width="14.33203125" style="2" customWidth="1"/>
    <col min="7703" max="7703" width="4" style="2" customWidth="1"/>
    <col min="7704" max="7955" width="7.6640625" style="2" customWidth="1"/>
    <col min="7956" max="7956" width="14.33203125" style="2" customWidth="1"/>
    <col min="7957" max="7957" width="4" style="2" customWidth="1"/>
    <col min="7958" max="7958" width="14.33203125" style="2" customWidth="1"/>
    <col min="7959" max="7959" width="4" style="2" customWidth="1"/>
    <col min="7960" max="8211" width="7.6640625" style="2" customWidth="1"/>
    <col min="8212" max="8212" width="14.33203125" style="2" customWidth="1"/>
    <col min="8213" max="8213" width="4" style="2" customWidth="1"/>
    <col min="8214" max="8214" width="14.33203125" style="2" customWidth="1"/>
    <col min="8215" max="8215" width="4" style="2" customWidth="1"/>
    <col min="8216" max="8467" width="7.6640625" style="2" customWidth="1"/>
    <col min="8468" max="8468" width="14.33203125" style="2" customWidth="1"/>
    <col min="8469" max="8469" width="4" style="2" customWidth="1"/>
    <col min="8470" max="8470" width="14.33203125" style="2" customWidth="1"/>
    <col min="8471" max="8471" width="4" style="2" customWidth="1"/>
    <col min="8472" max="8723" width="7.6640625" style="2" customWidth="1"/>
    <col min="8724" max="8724" width="14.33203125" style="2" customWidth="1"/>
    <col min="8725" max="8725" width="4" style="2" customWidth="1"/>
    <col min="8726" max="8726" width="14.33203125" style="2" customWidth="1"/>
    <col min="8727" max="8727" width="4" style="2" customWidth="1"/>
    <col min="8728" max="8979" width="7.6640625" style="2" customWidth="1"/>
    <col min="8980" max="8980" width="14.33203125" style="2" customWidth="1"/>
    <col min="8981" max="8981" width="4" style="2" customWidth="1"/>
    <col min="8982" max="8982" width="14.33203125" style="2" customWidth="1"/>
    <col min="8983" max="8983" width="4" style="2" customWidth="1"/>
    <col min="8984" max="9235" width="7.6640625" style="2" customWidth="1"/>
    <col min="9236" max="9236" width="14.33203125" style="2" customWidth="1"/>
    <col min="9237" max="9237" width="4" style="2" customWidth="1"/>
    <col min="9238" max="9238" width="14.33203125" style="2" customWidth="1"/>
    <col min="9239" max="9239" width="4" style="2" customWidth="1"/>
    <col min="9240" max="9491" width="7.6640625" style="2" customWidth="1"/>
    <col min="9492" max="9492" width="14.33203125" style="2" customWidth="1"/>
    <col min="9493" max="9493" width="4" style="2" customWidth="1"/>
    <col min="9494" max="9494" width="14.33203125" style="2" customWidth="1"/>
    <col min="9495" max="9495" width="4" style="2" customWidth="1"/>
    <col min="9496" max="9747" width="7.6640625" style="2" customWidth="1"/>
    <col min="9748" max="9748" width="14.33203125" style="2" customWidth="1"/>
    <col min="9749" max="9749" width="4" style="2" customWidth="1"/>
    <col min="9750" max="9750" width="14.33203125" style="2" customWidth="1"/>
    <col min="9751" max="9751" width="4" style="2" customWidth="1"/>
    <col min="9752" max="10003" width="7.6640625" style="2" customWidth="1"/>
    <col min="10004" max="10004" width="14.33203125" style="2" customWidth="1"/>
    <col min="10005" max="10005" width="4" style="2" customWidth="1"/>
    <col min="10006" max="10006" width="14.33203125" style="2" customWidth="1"/>
    <col min="10007" max="10007" width="4" style="2" customWidth="1"/>
    <col min="10008" max="10259" width="7.6640625" style="2" customWidth="1"/>
    <col min="10260" max="10260" width="14.33203125" style="2" customWidth="1"/>
    <col min="10261" max="10261" width="4" style="2" customWidth="1"/>
    <col min="10262" max="10262" width="14.33203125" style="2" customWidth="1"/>
    <col min="10263" max="10263" width="4" style="2" customWidth="1"/>
    <col min="10264" max="10515" width="7.6640625" style="2" customWidth="1"/>
    <col min="10516" max="10516" width="14.33203125" style="2" customWidth="1"/>
    <col min="10517" max="10517" width="4" style="2" customWidth="1"/>
    <col min="10518" max="10518" width="14.33203125" style="2" customWidth="1"/>
    <col min="10519" max="10519" width="4" style="2" customWidth="1"/>
    <col min="10520" max="10771" width="7.6640625" style="2" customWidth="1"/>
    <col min="10772" max="10772" width="14.33203125" style="2" customWidth="1"/>
    <col min="10773" max="10773" width="4" style="2" customWidth="1"/>
    <col min="10774" max="10774" width="14.33203125" style="2" customWidth="1"/>
    <col min="10775" max="10775" width="4" style="2" customWidth="1"/>
    <col min="10776" max="11027" width="7.6640625" style="2" customWidth="1"/>
    <col min="11028" max="11028" width="14.33203125" style="2" customWidth="1"/>
    <col min="11029" max="11029" width="4" style="2" customWidth="1"/>
    <col min="11030" max="11030" width="14.33203125" style="2" customWidth="1"/>
    <col min="11031" max="11031" width="4" style="2" customWidth="1"/>
    <col min="11032" max="11283" width="7.6640625" style="2" customWidth="1"/>
    <col min="11284" max="11284" width="14.33203125" style="2" customWidth="1"/>
    <col min="11285" max="11285" width="4" style="2" customWidth="1"/>
    <col min="11286" max="11286" width="14.33203125" style="2" customWidth="1"/>
    <col min="11287" max="11287" width="4" style="2" customWidth="1"/>
    <col min="11288" max="11539" width="7.6640625" style="2" customWidth="1"/>
    <col min="11540" max="11540" width="14.33203125" style="2" customWidth="1"/>
    <col min="11541" max="11541" width="4" style="2" customWidth="1"/>
    <col min="11542" max="11542" width="14.33203125" style="2" customWidth="1"/>
    <col min="11543" max="11543" width="4" style="2" customWidth="1"/>
    <col min="11544" max="11795" width="7.6640625" style="2" customWidth="1"/>
    <col min="11796" max="11796" width="14.33203125" style="2" customWidth="1"/>
    <col min="11797" max="11797" width="4" style="2" customWidth="1"/>
    <col min="11798" max="11798" width="14.33203125" style="2" customWidth="1"/>
    <col min="11799" max="11799" width="4" style="2" customWidth="1"/>
    <col min="11800" max="12051" width="7.6640625" style="2" customWidth="1"/>
    <col min="12052" max="12052" width="14.33203125" style="2" customWidth="1"/>
    <col min="12053" max="12053" width="4" style="2" customWidth="1"/>
    <col min="12054" max="12054" width="14.33203125" style="2" customWidth="1"/>
    <col min="12055" max="12055" width="4" style="2" customWidth="1"/>
    <col min="12056" max="12307" width="7.6640625" style="2" customWidth="1"/>
    <col min="12308" max="12308" width="14.33203125" style="2" customWidth="1"/>
    <col min="12309" max="12309" width="4" style="2" customWidth="1"/>
    <col min="12310" max="12310" width="14.33203125" style="2" customWidth="1"/>
    <col min="12311" max="12311" width="4" style="2" customWidth="1"/>
    <col min="12312" max="12563" width="7.6640625" style="2" customWidth="1"/>
    <col min="12564" max="12564" width="14.33203125" style="2" customWidth="1"/>
    <col min="12565" max="12565" width="4" style="2" customWidth="1"/>
    <col min="12566" max="12566" width="14.33203125" style="2" customWidth="1"/>
    <col min="12567" max="12567" width="4" style="2" customWidth="1"/>
    <col min="12568" max="12819" width="7.6640625" style="2" customWidth="1"/>
    <col min="12820" max="12820" width="14.33203125" style="2" customWidth="1"/>
    <col min="12821" max="12821" width="4" style="2" customWidth="1"/>
    <col min="12822" max="12822" width="14.33203125" style="2" customWidth="1"/>
    <col min="12823" max="12823" width="4" style="2" customWidth="1"/>
    <col min="12824" max="13075" width="7.6640625" style="2" customWidth="1"/>
    <col min="13076" max="13076" width="14.33203125" style="2" customWidth="1"/>
    <col min="13077" max="13077" width="4" style="2" customWidth="1"/>
    <col min="13078" max="13078" width="14.33203125" style="2" customWidth="1"/>
    <col min="13079" max="13079" width="4" style="2" customWidth="1"/>
    <col min="13080" max="13331" width="7.6640625" style="2" customWidth="1"/>
    <col min="13332" max="13332" width="14.33203125" style="2" customWidth="1"/>
    <col min="13333" max="13333" width="4" style="2" customWidth="1"/>
    <col min="13334" max="13334" width="14.33203125" style="2" customWidth="1"/>
    <col min="13335" max="13335" width="4" style="2" customWidth="1"/>
    <col min="13336" max="13587" width="7.6640625" style="2" customWidth="1"/>
    <col min="13588" max="13588" width="14.33203125" style="2" customWidth="1"/>
    <col min="13589" max="13589" width="4" style="2" customWidth="1"/>
    <col min="13590" max="13590" width="14.33203125" style="2" customWidth="1"/>
    <col min="13591" max="13591" width="4" style="2" customWidth="1"/>
    <col min="13592" max="13843" width="7.6640625" style="2" customWidth="1"/>
    <col min="13844" max="13844" width="14.33203125" style="2" customWidth="1"/>
    <col min="13845" max="13845" width="4" style="2" customWidth="1"/>
    <col min="13846" max="13846" width="14.33203125" style="2" customWidth="1"/>
    <col min="13847" max="13847" width="4" style="2" customWidth="1"/>
    <col min="13848" max="14099" width="7.6640625" style="2" customWidth="1"/>
    <col min="14100" max="14100" width="14.33203125" style="2" customWidth="1"/>
    <col min="14101" max="14101" width="4" style="2" customWidth="1"/>
    <col min="14102" max="14102" width="14.33203125" style="2" customWidth="1"/>
    <col min="14103" max="14103" width="4" style="2" customWidth="1"/>
    <col min="14104" max="14355" width="7.6640625" style="2" customWidth="1"/>
    <col min="14356" max="14356" width="14.33203125" style="2" customWidth="1"/>
    <col min="14357" max="14357" width="4" style="2" customWidth="1"/>
    <col min="14358" max="14358" width="14.33203125" style="2" customWidth="1"/>
    <col min="14359" max="14359" width="4" style="2" customWidth="1"/>
    <col min="14360" max="14611" width="7.6640625" style="2" customWidth="1"/>
    <col min="14612" max="14612" width="14.33203125" style="2" customWidth="1"/>
    <col min="14613" max="14613" width="4" style="2" customWidth="1"/>
    <col min="14614" max="14614" width="14.33203125" style="2" customWidth="1"/>
    <col min="14615" max="14615" width="4" style="2" customWidth="1"/>
    <col min="14616" max="14867" width="7.6640625" style="2" customWidth="1"/>
    <col min="14868" max="14868" width="14.33203125" style="2" customWidth="1"/>
    <col min="14869" max="14869" width="4" style="2" customWidth="1"/>
    <col min="14870" max="14870" width="14.33203125" style="2" customWidth="1"/>
    <col min="14871" max="14871" width="4" style="2" customWidth="1"/>
    <col min="14872" max="15123" width="7.6640625" style="2" customWidth="1"/>
    <col min="15124" max="15124" width="14.33203125" style="2" customWidth="1"/>
    <col min="15125" max="15125" width="4" style="2" customWidth="1"/>
    <col min="15126" max="15126" width="14.33203125" style="2" customWidth="1"/>
    <col min="15127" max="15127" width="4" style="2" customWidth="1"/>
    <col min="15128" max="15379" width="7.6640625" style="2" customWidth="1"/>
    <col min="15380" max="15380" width="14.33203125" style="2" customWidth="1"/>
    <col min="15381" max="15381" width="4" style="2" customWidth="1"/>
    <col min="15382" max="15382" width="14.33203125" style="2" customWidth="1"/>
    <col min="15383" max="15383" width="4" style="2" customWidth="1"/>
    <col min="15384" max="15635" width="7.6640625" style="2" customWidth="1"/>
    <col min="15636" max="15636" width="14.33203125" style="2" customWidth="1"/>
    <col min="15637" max="15637" width="4" style="2" customWidth="1"/>
    <col min="15638" max="15638" width="14.33203125" style="2" customWidth="1"/>
    <col min="15639" max="15639" width="4" style="2" customWidth="1"/>
    <col min="15640" max="15891" width="7.6640625" style="2" customWidth="1"/>
    <col min="15892" max="15892" width="14.33203125" style="2" customWidth="1"/>
    <col min="15893" max="15893" width="4" style="2" customWidth="1"/>
    <col min="15894" max="15894" width="14.33203125" style="2" customWidth="1"/>
    <col min="15895" max="15895" width="4" style="2" customWidth="1"/>
    <col min="15896" max="16147" width="7.6640625" style="2" customWidth="1"/>
    <col min="16148" max="16148" width="14.33203125" style="2" customWidth="1"/>
    <col min="16149" max="16149" width="4" style="2" customWidth="1"/>
    <col min="16150" max="16150" width="14.33203125" style="2" customWidth="1"/>
    <col min="16151" max="16151" width="4" style="2" customWidth="1"/>
    <col min="16152" max="16384" width="7.6640625" style="2" customWidth="1"/>
  </cols>
  <sheetData>
    <row r="1" spans="1:30" ht="15" customHeight="1" x14ac:dyDescent="0.3">
      <c r="A1" s="85"/>
      <c r="B1" s="86"/>
      <c r="C1" s="86"/>
      <c r="D1" s="86"/>
      <c r="E1" s="86"/>
      <c r="F1" s="1"/>
      <c r="G1" s="1"/>
      <c r="H1" s="1"/>
      <c r="I1" s="1"/>
      <c r="J1" s="1"/>
      <c r="K1" s="1"/>
      <c r="L1" s="1"/>
      <c r="M1" s="1"/>
      <c r="N1" s="1"/>
      <c r="O1" s="1"/>
      <c r="P1" s="1"/>
      <c r="Q1" s="1"/>
      <c r="R1" s="1"/>
      <c r="S1" s="1"/>
      <c r="T1" s="1"/>
      <c r="U1" s="1"/>
      <c r="V1" s="1"/>
      <c r="W1" s="1"/>
      <c r="X1" s="1"/>
      <c r="Y1" s="1"/>
      <c r="Z1" s="3"/>
    </row>
    <row r="2" spans="1:30" ht="15" customHeight="1" x14ac:dyDescent="0.3">
      <c r="A2" s="3"/>
      <c r="B2" s="589" t="s">
        <v>84</v>
      </c>
      <c r="C2" s="10"/>
      <c r="D2" s="10"/>
      <c r="E2" s="10"/>
      <c r="F2" s="3"/>
      <c r="G2" s="3"/>
      <c r="H2" s="3"/>
      <c r="I2" s="3"/>
      <c r="J2" s="3"/>
      <c r="K2" s="3"/>
      <c r="L2" s="3"/>
      <c r="M2" s="3"/>
      <c r="N2" s="3"/>
      <c r="O2" s="3"/>
      <c r="P2" s="3"/>
      <c r="Q2" s="3"/>
      <c r="R2" s="3"/>
      <c r="S2" s="3"/>
      <c r="T2" s="3"/>
      <c r="U2" s="3"/>
      <c r="V2" s="3"/>
      <c r="W2" s="3"/>
      <c r="X2" s="3"/>
      <c r="Y2" s="3"/>
      <c r="Z2" s="3"/>
      <c r="AC2" s="16"/>
      <c r="AD2" s="16"/>
    </row>
    <row r="3" spans="1:30" ht="15" customHeight="1" x14ac:dyDescent="0.3">
      <c r="A3" s="3"/>
      <c r="B3" s="615" t="s">
        <v>145</v>
      </c>
      <c r="C3" s="3"/>
      <c r="D3" s="3"/>
      <c r="E3" s="3"/>
      <c r="F3" s="3"/>
      <c r="G3" s="3"/>
      <c r="H3" s="3"/>
      <c r="I3" s="3"/>
      <c r="J3" s="3"/>
      <c r="K3" s="3"/>
      <c r="L3" s="3"/>
      <c r="M3" s="3"/>
      <c r="N3" s="3"/>
      <c r="O3" s="3"/>
      <c r="P3" s="3"/>
      <c r="Q3" s="3"/>
      <c r="R3" s="3"/>
      <c r="S3" s="3"/>
      <c r="T3" s="3"/>
      <c r="U3" s="3"/>
      <c r="V3" s="3"/>
      <c r="W3" s="3"/>
      <c r="X3" s="3"/>
      <c r="Y3" s="3"/>
      <c r="Z3" s="3"/>
      <c r="AC3" s="16"/>
      <c r="AD3" s="16"/>
    </row>
    <row r="4" spans="1:30" ht="15" customHeight="1" x14ac:dyDescent="0.3">
      <c r="A4" s="3"/>
      <c r="B4" s="594" t="str">
        <f>Overview!$B$7</f>
        <v>Grove Park Drive</v>
      </c>
      <c r="C4" s="3"/>
      <c r="D4" s="3"/>
      <c r="E4" s="3"/>
      <c r="F4" s="3"/>
      <c r="G4" s="3"/>
      <c r="H4" s="3"/>
      <c r="I4" s="3"/>
      <c r="J4" s="3"/>
      <c r="K4" s="3"/>
      <c r="L4" s="3"/>
      <c r="M4" s="3"/>
      <c r="N4" s="3"/>
      <c r="O4" s="3"/>
      <c r="P4" s="3"/>
      <c r="Q4" s="3"/>
      <c r="R4" s="3"/>
      <c r="S4" s="3"/>
      <c r="T4" s="3"/>
      <c r="U4" s="3"/>
      <c r="V4" s="3"/>
      <c r="W4" s="3"/>
      <c r="X4" s="3"/>
      <c r="Y4" s="3"/>
      <c r="Z4" s="3"/>
      <c r="AC4" s="16"/>
      <c r="AD4" s="16"/>
    </row>
    <row r="5" spans="1:30" ht="15" customHeight="1" x14ac:dyDescent="0.3">
      <c r="A5" s="3"/>
      <c r="B5" s="12"/>
      <c r="C5" s="3"/>
      <c r="D5" s="3"/>
      <c r="E5" s="3"/>
      <c r="F5" s="3"/>
      <c r="G5" s="3"/>
      <c r="H5" s="3"/>
      <c r="I5" s="3"/>
      <c r="J5" s="3"/>
      <c r="K5" s="3"/>
      <c r="L5" s="730"/>
      <c r="M5" s="730"/>
      <c r="N5" s="730"/>
      <c r="O5" s="730"/>
      <c r="P5" s="730"/>
      <c r="Q5" s="3"/>
      <c r="R5" s="3"/>
      <c r="S5" s="3"/>
      <c r="T5" s="3"/>
      <c r="U5" s="3"/>
      <c r="V5" s="3"/>
      <c r="W5" s="3"/>
      <c r="X5" s="3"/>
      <c r="Y5" s="3"/>
      <c r="Z5" s="3"/>
      <c r="AD5" s="16"/>
    </row>
    <row r="6" spans="1:30" ht="15" customHeight="1" x14ac:dyDescent="0.3">
      <c r="A6" s="3"/>
      <c r="B6" s="12" t="s">
        <v>115</v>
      </c>
      <c r="C6" s="3"/>
      <c r="D6" s="3"/>
      <c r="E6" s="3"/>
      <c r="F6" s="3"/>
      <c r="G6" s="3"/>
      <c r="H6" s="3"/>
      <c r="I6" s="3"/>
      <c r="J6" s="3"/>
      <c r="K6" s="3"/>
      <c r="L6" s="3"/>
      <c r="M6" s="3"/>
      <c r="N6" s="3"/>
      <c r="O6" s="3"/>
      <c r="P6" s="3"/>
      <c r="Q6" s="3"/>
      <c r="R6" s="3"/>
      <c r="S6" s="3"/>
      <c r="T6" s="3"/>
      <c r="U6" s="3"/>
      <c r="V6" s="3"/>
      <c r="W6" s="3"/>
      <c r="X6" s="3"/>
      <c r="Y6" s="3"/>
      <c r="Z6" s="3"/>
      <c r="AD6" s="16"/>
    </row>
    <row r="7" spans="1:30" ht="15" customHeight="1" x14ac:dyDescent="0.3">
      <c r="A7" s="3"/>
      <c r="B7" s="112" t="s">
        <v>113</v>
      </c>
      <c r="C7" s="3"/>
      <c r="D7" s="3"/>
      <c r="E7" s="3"/>
      <c r="F7" s="3"/>
      <c r="G7" s="3"/>
      <c r="H7" s="3"/>
      <c r="I7" s="3"/>
      <c r="J7" s="3"/>
      <c r="K7" s="3"/>
      <c r="L7" s="3"/>
      <c r="M7" s="22"/>
      <c r="N7" s="3"/>
      <c r="O7" s="3"/>
      <c r="P7" s="3"/>
      <c r="Q7" s="3"/>
      <c r="R7" s="3"/>
      <c r="S7" s="22"/>
      <c r="T7" s="3"/>
      <c r="U7" s="3"/>
      <c r="V7" s="3"/>
      <c r="W7" s="3"/>
      <c r="X7" s="3"/>
      <c r="Y7" s="3"/>
      <c r="Z7" s="3"/>
      <c r="AD7" s="16"/>
    </row>
    <row r="8" spans="1:30" ht="15" customHeight="1" x14ac:dyDescent="0.3">
      <c r="A8" s="3"/>
      <c r="B8" s="14"/>
      <c r="C8" s="1350" t="s">
        <v>37</v>
      </c>
      <c r="D8" s="1350"/>
      <c r="E8" s="1350"/>
      <c r="F8" s="1350"/>
      <c r="G8" s="1350"/>
      <c r="H8" s="1350"/>
      <c r="I8" s="1351"/>
      <c r="J8" s="1202" t="s">
        <v>90</v>
      </c>
      <c r="K8" s="1354"/>
      <c r="L8" s="1355"/>
      <c r="M8" s="1202" t="s">
        <v>91</v>
      </c>
      <c r="N8" s="1354"/>
      <c r="O8" s="1355"/>
      <c r="P8" s="1202" t="s">
        <v>92</v>
      </c>
      <c r="Q8" s="1354"/>
      <c r="R8" s="1355"/>
      <c r="S8" s="1202" t="s">
        <v>93</v>
      </c>
      <c r="T8" s="1354"/>
      <c r="U8" s="1355"/>
      <c r="V8" s="1202" t="s">
        <v>94</v>
      </c>
      <c r="W8" s="1354"/>
      <c r="X8" s="1354"/>
      <c r="Y8" s="3"/>
      <c r="Z8" s="3"/>
      <c r="AD8" s="16"/>
    </row>
    <row r="9" spans="1:30" ht="15" customHeight="1" thickBot="1" x14ac:dyDescent="0.35">
      <c r="A9" s="3"/>
      <c r="B9" s="3"/>
      <c r="C9" s="1352"/>
      <c r="D9" s="1352"/>
      <c r="E9" s="1352"/>
      <c r="F9" s="1352"/>
      <c r="G9" s="1352"/>
      <c r="H9" s="1352"/>
      <c r="I9" s="1353"/>
      <c r="J9" s="1356"/>
      <c r="K9" s="1061"/>
      <c r="L9" s="1057"/>
      <c r="M9" s="1356"/>
      <c r="N9" s="1061"/>
      <c r="O9" s="1057"/>
      <c r="P9" s="1356"/>
      <c r="Q9" s="1061"/>
      <c r="R9" s="1057"/>
      <c r="S9" s="1356"/>
      <c r="T9" s="1061"/>
      <c r="U9" s="1057"/>
      <c r="V9" s="1356"/>
      <c r="W9" s="1061"/>
      <c r="X9" s="1061"/>
      <c r="Y9" s="3"/>
      <c r="Z9" s="3"/>
      <c r="AD9" s="16"/>
    </row>
    <row r="10" spans="1:30" ht="15" customHeight="1" x14ac:dyDescent="0.3">
      <c r="A10" s="3"/>
      <c r="B10" s="3"/>
      <c r="C10" s="1334" t="s">
        <v>85</v>
      </c>
      <c r="D10" s="1334"/>
      <c r="E10" s="1334"/>
      <c r="F10" s="1334"/>
      <c r="G10" s="1334"/>
      <c r="H10" s="1334"/>
      <c r="I10" s="1335"/>
      <c r="J10" s="1336">
        <f>'Scheme Entry - Baseline'!W25</f>
        <v>4100</v>
      </c>
      <c r="K10" s="1337"/>
      <c r="L10" s="1338"/>
      <c r="M10" s="1339"/>
      <c r="N10" s="1340"/>
      <c r="O10" s="1341"/>
      <c r="P10" s="1342">
        <f>((('Scheme Entry - Baseline'!$W$46*1000)/('Scheme Entry - Baseline'!$W$9))*Overview!$E$29)*('Scheme Entry - Baseline'!$W$11/1000)*J10</f>
        <v>1126767.8571428573</v>
      </c>
      <c r="Q10" s="1343"/>
      <c r="R10" s="1344"/>
      <c r="S10" s="1345">
        <f>'Scheme Entry - Baseline'!$W$17</f>
        <v>0.13</v>
      </c>
      <c r="T10" s="1346"/>
      <c r="U10" s="1347"/>
      <c r="V10" s="1348">
        <f>P10*S10</f>
        <v>146479.82142857145</v>
      </c>
      <c r="W10" s="1349"/>
      <c r="X10" s="1349"/>
      <c r="Y10" s="3"/>
      <c r="Z10" s="3"/>
      <c r="AA10" s="66"/>
      <c r="AD10" s="16"/>
    </row>
    <row r="11" spans="1:30" ht="15" customHeight="1" x14ac:dyDescent="0.3">
      <c r="A11" s="3"/>
      <c r="B11" s="3"/>
      <c r="C11" s="1373" t="s">
        <v>86</v>
      </c>
      <c r="D11" s="1373"/>
      <c r="E11" s="1373"/>
      <c r="F11" s="1373"/>
      <c r="G11" s="1373"/>
      <c r="H11" s="1374" t="s">
        <v>87</v>
      </c>
      <c r="I11" s="1375"/>
      <c r="J11" s="1376">
        <v>0</v>
      </c>
      <c r="K11" s="1377"/>
      <c r="L11" s="1378"/>
      <c r="M11" s="1379"/>
      <c r="N11" s="1380"/>
      <c r="O11" s="1381"/>
      <c r="P11" s="1382">
        <f>((('Scheme Entry - Baseline'!$W$46*1000)/('Scheme Entry - Baseline'!$W$9))*2)*'Scheme Entry - Baseline'!$W$11*J12</f>
        <v>0</v>
      </c>
      <c r="Q11" s="1383"/>
      <c r="R11" s="1384"/>
      <c r="S11" s="1376">
        <f>'Scheme Entry - Baseline'!$W$17</f>
        <v>0.13</v>
      </c>
      <c r="T11" s="1377"/>
      <c r="U11" s="1378"/>
      <c r="V11" s="1357">
        <f>P11*S11</f>
        <v>0</v>
      </c>
      <c r="W11" s="1358"/>
      <c r="X11" s="1358"/>
      <c r="Y11" s="3"/>
      <c r="Z11" s="3"/>
      <c r="AD11" s="16"/>
    </row>
    <row r="12" spans="1:30" ht="15" customHeight="1" x14ac:dyDescent="0.3">
      <c r="A12" s="3"/>
      <c r="B12" s="3"/>
      <c r="C12" s="1359"/>
      <c r="D12" s="1359"/>
      <c r="E12" s="1359"/>
      <c r="F12" s="1359"/>
      <c r="G12" s="1359"/>
      <c r="H12" s="1360" t="s">
        <v>88</v>
      </c>
      <c r="I12" s="1361"/>
      <c r="J12" s="1362">
        <v>0</v>
      </c>
      <c r="K12" s="1363"/>
      <c r="L12" s="1364"/>
      <c r="M12" s="1365"/>
      <c r="N12" s="1366"/>
      <c r="O12" s="1367"/>
      <c r="P12" s="1368">
        <f>((('Scheme Entry - Baseline'!$W$46*1000)/('Scheme Entry - Baseline'!$W$9))*2)*'Scheme Entry - Baseline'!$W$11*J12*M12</f>
        <v>0</v>
      </c>
      <c r="Q12" s="1369"/>
      <c r="R12" s="1370"/>
      <c r="S12" s="1362">
        <f>'Scheme Entry - Baseline'!$W$17</f>
        <v>0.13</v>
      </c>
      <c r="T12" s="1363"/>
      <c r="U12" s="1364"/>
      <c r="V12" s="1371">
        <f>P12*S12</f>
        <v>0</v>
      </c>
      <c r="W12" s="1372"/>
      <c r="X12" s="1372"/>
      <c r="Y12" s="3"/>
      <c r="Z12" s="3"/>
      <c r="AD12" s="16"/>
    </row>
    <row r="13" spans="1:30" ht="15" customHeight="1" thickBot="1" x14ac:dyDescent="0.35">
      <c r="A13" s="3"/>
      <c r="B13" s="3"/>
      <c r="C13" s="1387"/>
      <c r="D13" s="1387"/>
      <c r="E13" s="1387"/>
      <c r="F13" s="1387"/>
      <c r="G13" s="1387"/>
      <c r="H13" s="1387"/>
      <c r="I13" s="1388"/>
      <c r="J13" s="1389">
        <f>SUM(J11:L12)</f>
        <v>0</v>
      </c>
      <c r="K13" s="1390"/>
      <c r="L13" s="1391"/>
      <c r="M13" s="1392"/>
      <c r="N13" s="1393"/>
      <c r="O13" s="1394"/>
      <c r="P13" s="1395">
        <f>P10</f>
        <v>1126767.8571428573</v>
      </c>
      <c r="Q13" s="1396"/>
      <c r="R13" s="1397"/>
      <c r="S13" s="1392"/>
      <c r="T13" s="1393"/>
      <c r="U13" s="1394"/>
      <c r="V13" s="1385">
        <f>V10</f>
        <v>146479.82142857145</v>
      </c>
      <c r="W13" s="1386"/>
      <c r="X13" s="1386"/>
      <c r="Y13" s="3"/>
      <c r="Z13" s="3"/>
      <c r="AD13" s="16"/>
    </row>
    <row r="14" spans="1:30" ht="15" customHeight="1" x14ac:dyDescent="0.3">
      <c r="A14" s="3"/>
      <c r="B14" s="3"/>
      <c r="C14" s="67"/>
      <c r="D14" s="67"/>
      <c r="E14" s="67"/>
      <c r="F14" s="67"/>
      <c r="G14" s="67"/>
      <c r="H14" s="67"/>
      <c r="I14" s="67"/>
      <c r="J14" s="67"/>
      <c r="K14" s="67"/>
      <c r="L14" s="67"/>
      <c r="M14" s="67"/>
      <c r="N14" s="67"/>
      <c r="O14" s="67"/>
      <c r="P14" s="67"/>
      <c r="Q14" s="67"/>
      <c r="R14" s="67"/>
      <c r="S14" s="67"/>
      <c r="T14" s="67"/>
      <c r="U14" s="67"/>
      <c r="V14" s="67"/>
      <c r="W14" s="67"/>
      <c r="X14" s="67"/>
      <c r="Y14" s="3"/>
      <c r="Z14" s="3"/>
      <c r="AC14" s="16"/>
      <c r="AD14" s="16"/>
    </row>
    <row r="15" spans="1:30" ht="15" customHeight="1" x14ac:dyDescent="0.3">
      <c r="A15" s="3"/>
      <c r="B15" s="12" t="s">
        <v>116</v>
      </c>
      <c r="C15" s="3"/>
      <c r="D15" s="3"/>
      <c r="E15" s="3"/>
      <c r="F15" s="3"/>
      <c r="G15" s="3"/>
      <c r="H15" s="3"/>
      <c r="I15" s="3"/>
      <c r="J15" s="3"/>
      <c r="K15" s="3"/>
      <c r="L15" s="3"/>
      <c r="M15" s="3"/>
      <c r="N15" s="3"/>
      <c r="O15" s="3"/>
      <c r="P15" s="1398"/>
      <c r="Q15" s="1399"/>
      <c r="R15" s="1399"/>
      <c r="S15" s="1399"/>
      <c r="T15" s="1399"/>
      <c r="U15" s="1399"/>
      <c r="V15" s="3"/>
      <c r="W15" s="3"/>
      <c r="X15" s="3"/>
      <c r="Y15" s="3"/>
      <c r="Z15" s="3"/>
      <c r="AC15" s="16"/>
      <c r="AD15" s="16"/>
    </row>
    <row r="16" spans="1:30" ht="15" customHeight="1" x14ac:dyDescent="0.3">
      <c r="A16" s="3"/>
      <c r="B16" s="113" t="s">
        <v>114</v>
      </c>
      <c r="C16" s="3"/>
      <c r="D16" s="3"/>
      <c r="E16" s="3"/>
      <c r="F16" s="3"/>
      <c r="G16" s="3"/>
      <c r="H16" s="3"/>
      <c r="I16" s="3"/>
      <c r="J16" s="3"/>
      <c r="K16" s="3"/>
      <c r="L16" s="3"/>
      <c r="M16" s="22"/>
      <c r="N16" s="3"/>
      <c r="O16" s="3"/>
      <c r="P16" s="1399"/>
      <c r="Q16" s="1399"/>
      <c r="R16" s="1399"/>
      <c r="S16" s="3"/>
      <c r="T16" s="3"/>
      <c r="U16" s="3"/>
      <c r="V16" s="3"/>
      <c r="W16" s="3"/>
      <c r="X16" s="3"/>
      <c r="Y16" s="3"/>
      <c r="Z16" s="3"/>
      <c r="AC16" s="16"/>
      <c r="AD16" s="16"/>
    </row>
    <row r="17" spans="1:31" ht="15" customHeight="1" x14ac:dyDescent="0.3">
      <c r="A17" s="3"/>
      <c r="B17" s="14"/>
      <c r="C17" s="1350" t="s">
        <v>37</v>
      </c>
      <c r="D17" s="1350"/>
      <c r="E17" s="1350"/>
      <c r="F17" s="1350"/>
      <c r="G17" s="1350"/>
      <c r="H17" s="1350"/>
      <c r="I17" s="1351"/>
      <c r="J17" s="1202" t="s">
        <v>90</v>
      </c>
      <c r="K17" s="1354"/>
      <c r="L17" s="1355"/>
      <c r="M17" s="1202" t="s">
        <v>91</v>
      </c>
      <c r="N17" s="1354"/>
      <c r="O17" s="1355"/>
      <c r="P17" s="1202" t="s">
        <v>92</v>
      </c>
      <c r="Q17" s="1354"/>
      <c r="R17" s="1355"/>
      <c r="S17" s="1202" t="s">
        <v>93</v>
      </c>
      <c r="T17" s="1354"/>
      <c r="U17" s="1355"/>
      <c r="V17" s="1202" t="s">
        <v>94</v>
      </c>
      <c r="W17" s="1354"/>
      <c r="X17" s="1354"/>
      <c r="Y17" s="3"/>
      <c r="Z17" s="3"/>
    </row>
    <row r="18" spans="1:31" ht="15" customHeight="1" thickBot="1" x14ac:dyDescent="0.35">
      <c r="A18" s="3"/>
      <c r="B18" s="3"/>
      <c r="C18" s="1352"/>
      <c r="D18" s="1352"/>
      <c r="E18" s="1352"/>
      <c r="F18" s="1352"/>
      <c r="G18" s="1352"/>
      <c r="H18" s="1352"/>
      <c r="I18" s="1353"/>
      <c r="J18" s="1356"/>
      <c r="K18" s="1061"/>
      <c r="L18" s="1057"/>
      <c r="M18" s="1356"/>
      <c r="N18" s="1061"/>
      <c r="O18" s="1057"/>
      <c r="P18" s="1356"/>
      <c r="Q18" s="1061"/>
      <c r="R18" s="1057"/>
      <c r="S18" s="1356"/>
      <c r="T18" s="1061"/>
      <c r="U18" s="1057"/>
      <c r="V18" s="1356"/>
      <c r="W18" s="1061"/>
      <c r="X18" s="1061"/>
      <c r="Y18" s="3"/>
      <c r="Z18" s="3"/>
    </row>
    <row r="19" spans="1:31" ht="15" customHeight="1" x14ac:dyDescent="0.3">
      <c r="A19" s="3"/>
      <c r="B19" s="3"/>
      <c r="C19" s="1426" t="s">
        <v>85</v>
      </c>
      <c r="D19" s="1426"/>
      <c r="E19" s="1426"/>
      <c r="F19" s="1426"/>
      <c r="G19" s="1426"/>
      <c r="H19" s="1426"/>
      <c r="I19" s="1427"/>
      <c r="J19" s="1406">
        <f>J10</f>
        <v>4100</v>
      </c>
      <c r="K19" s="1407"/>
      <c r="L19" s="1408"/>
      <c r="M19" s="1400"/>
      <c r="N19" s="1401"/>
      <c r="O19" s="1402"/>
      <c r="P19" s="1403">
        <f>P10</f>
        <v>1126767.8571428573</v>
      </c>
      <c r="Q19" s="1404"/>
      <c r="R19" s="1405"/>
      <c r="S19" s="1406">
        <f>'Scheme Entry - Baseline'!$W$17</f>
        <v>0.13</v>
      </c>
      <c r="T19" s="1407"/>
      <c r="U19" s="1408"/>
      <c r="V19" s="1409">
        <f>P19*S19</f>
        <v>146479.82142857145</v>
      </c>
      <c r="W19" s="1410"/>
      <c r="X19" s="1410"/>
      <c r="Y19" s="3"/>
      <c r="Z19" s="3"/>
      <c r="AE19" s="841"/>
    </row>
    <row r="20" spans="1:31" ht="15" customHeight="1" x14ac:dyDescent="0.3">
      <c r="A20" s="3"/>
      <c r="B20" s="3"/>
      <c r="C20" s="1411" t="s">
        <v>86</v>
      </c>
      <c r="D20" s="1411"/>
      <c r="E20" s="1411"/>
      <c r="F20" s="1411"/>
      <c r="G20" s="1411"/>
      <c r="H20" s="1412" t="s">
        <v>87</v>
      </c>
      <c r="I20" s="1413"/>
      <c r="J20" s="1414">
        <f>J10*54%</f>
        <v>2214</v>
      </c>
      <c r="K20" s="1415"/>
      <c r="L20" s="1416"/>
      <c r="M20" s="1417"/>
      <c r="N20" s="1418"/>
      <c r="O20" s="1419"/>
      <c r="P20" s="1420">
        <f>((('Scheme Entry - Baseline'!$W$46*1000)/('Scheme Entry - Baseline'!$W$9))*Overview!$E$29)*('Scheme Entry - Baseline'!$W$11/1000)*J20</f>
        <v>608454.64285714296</v>
      </c>
      <c r="Q20" s="1421"/>
      <c r="R20" s="1422"/>
      <c r="S20" s="1423">
        <f>'Scheme Entry - Baseline'!$W$17</f>
        <v>0.13</v>
      </c>
      <c r="T20" s="1424"/>
      <c r="U20" s="1425"/>
      <c r="V20" s="1428">
        <f>P20*S20</f>
        <v>79099.103571428583</v>
      </c>
      <c r="W20" s="1429"/>
      <c r="X20" s="1429"/>
      <c r="Y20" s="3"/>
      <c r="Z20" s="3"/>
    </row>
    <row r="21" spans="1:31" ht="15" customHeight="1" x14ac:dyDescent="0.3">
      <c r="A21" s="3"/>
      <c r="B21" s="3"/>
      <c r="C21" s="1430"/>
      <c r="D21" s="1430"/>
      <c r="E21" s="1430"/>
      <c r="F21" s="1430"/>
      <c r="G21" s="1430"/>
      <c r="H21" s="1052" t="s">
        <v>88</v>
      </c>
      <c r="I21" s="1431"/>
      <c r="J21" s="1432">
        <f>J10*46%</f>
        <v>1886</v>
      </c>
      <c r="K21" s="1433"/>
      <c r="L21" s="1434"/>
      <c r="M21" s="1435">
        <v>0.25</v>
      </c>
      <c r="N21" s="1436"/>
      <c r="O21" s="1437"/>
      <c r="P21" s="1438">
        <f>((('Scheme Entry - Baseline'!$W$46*1000)/('Scheme Entry - Baseline'!$W$9))*Overview!$E$29)*('Scheme Entry - Baseline'!$W$11*J21/1000)*(100%-M21)</f>
        <v>388734.91071428568</v>
      </c>
      <c r="Q21" s="1439"/>
      <c r="R21" s="1440"/>
      <c r="S21" s="1441">
        <f>'Scheme Entry - Baseline'!$W$17</f>
        <v>0.13</v>
      </c>
      <c r="T21" s="1442"/>
      <c r="U21" s="1443"/>
      <c r="V21" s="1444">
        <f>P21*S21</f>
        <v>50535.538392857139</v>
      </c>
      <c r="W21" s="1445"/>
      <c r="X21" s="1445"/>
      <c r="Y21" s="3"/>
      <c r="Z21" s="3"/>
      <c r="AE21" s="841"/>
    </row>
    <row r="22" spans="1:31" ht="15" customHeight="1" thickBot="1" x14ac:dyDescent="0.35">
      <c r="A22" s="3"/>
      <c r="B22" s="3"/>
      <c r="C22" s="1387"/>
      <c r="D22" s="1387"/>
      <c r="E22" s="1387"/>
      <c r="F22" s="1387"/>
      <c r="G22" s="1387"/>
      <c r="H22" s="1387"/>
      <c r="I22" s="1387"/>
      <c r="J22" s="1389">
        <f>SUM(J20:L21)</f>
        <v>4100</v>
      </c>
      <c r="K22" s="1390"/>
      <c r="L22" s="1391"/>
      <c r="M22" s="1392"/>
      <c r="N22" s="1393"/>
      <c r="O22" s="1394"/>
      <c r="P22" s="1395">
        <f>SUM(P20:R21)</f>
        <v>997189.55357142864</v>
      </c>
      <c r="Q22" s="1396"/>
      <c r="R22" s="1397"/>
      <c r="S22" s="1392"/>
      <c r="T22" s="1393"/>
      <c r="U22" s="1394"/>
      <c r="V22" s="1385">
        <f>SUM(V20:X21)</f>
        <v>129634.64196428572</v>
      </c>
      <c r="W22" s="1386"/>
      <c r="X22" s="1386"/>
      <c r="Y22" s="3"/>
      <c r="Z22" s="3"/>
    </row>
    <row r="23" spans="1:31" ht="15" customHeight="1" x14ac:dyDescent="0.3">
      <c r="A23" s="3"/>
      <c r="B23" s="3"/>
      <c r="C23" s="931"/>
      <c r="D23" s="931"/>
      <c r="E23" s="931"/>
      <c r="F23" s="931"/>
      <c r="G23" s="931"/>
      <c r="H23" s="931"/>
      <c r="I23" s="931"/>
      <c r="J23" s="931"/>
      <c r="K23" s="931"/>
      <c r="L23" s="931"/>
      <c r="M23" s="931"/>
      <c r="N23" s="931"/>
      <c r="O23" s="931"/>
      <c r="P23" s="931"/>
      <c r="Q23" s="931"/>
      <c r="R23" s="931"/>
      <c r="S23" s="931"/>
      <c r="T23" s="931"/>
      <c r="U23" s="931"/>
      <c r="V23" s="931"/>
      <c r="W23" s="931"/>
      <c r="X23" s="931"/>
      <c r="Y23" s="3"/>
      <c r="Z23" s="3"/>
    </row>
    <row r="24" spans="1:31" ht="15" customHeight="1" x14ac:dyDescent="0.3">
      <c r="A24" s="3"/>
      <c r="B24" s="113" t="s">
        <v>117</v>
      </c>
      <c r="C24" s="3"/>
      <c r="D24" s="3"/>
      <c r="E24" s="3"/>
      <c r="F24" s="3"/>
      <c r="G24" s="3"/>
      <c r="H24" s="3"/>
      <c r="I24" s="3"/>
      <c r="J24" s="3"/>
      <c r="K24" s="3"/>
      <c r="L24" s="3"/>
      <c r="M24" s="22"/>
      <c r="N24" s="3"/>
      <c r="O24" s="3"/>
      <c r="P24" s="3"/>
      <c r="Q24" s="3"/>
      <c r="R24" s="3"/>
      <c r="S24" s="3"/>
      <c r="T24" s="3"/>
      <c r="U24" s="3"/>
      <c r="V24" s="3"/>
      <c r="W24" s="3"/>
      <c r="X24" s="3"/>
      <c r="Y24" s="3"/>
      <c r="Z24" s="3"/>
    </row>
    <row r="25" spans="1:31" ht="15" customHeight="1" x14ac:dyDescent="0.3">
      <c r="A25" s="3"/>
      <c r="B25" s="14"/>
      <c r="C25" s="1350" t="s">
        <v>37</v>
      </c>
      <c r="D25" s="1350"/>
      <c r="E25" s="1350"/>
      <c r="F25" s="1350"/>
      <c r="G25" s="1350"/>
      <c r="H25" s="1350"/>
      <c r="I25" s="1351"/>
      <c r="J25" s="1202" t="s">
        <v>90</v>
      </c>
      <c r="K25" s="1354"/>
      <c r="L25" s="1355"/>
      <c r="M25" s="1202" t="s">
        <v>91</v>
      </c>
      <c r="N25" s="1354"/>
      <c r="O25" s="1355"/>
      <c r="P25" s="1202" t="s">
        <v>92</v>
      </c>
      <c r="Q25" s="1354"/>
      <c r="R25" s="1355"/>
      <c r="S25" s="1202" t="s">
        <v>93</v>
      </c>
      <c r="T25" s="1354"/>
      <c r="U25" s="1355"/>
      <c r="V25" s="1202" t="s">
        <v>94</v>
      </c>
      <c r="W25" s="1354"/>
      <c r="X25" s="1354"/>
      <c r="Y25" s="3"/>
      <c r="Z25" s="3"/>
    </row>
    <row r="26" spans="1:31" ht="15" customHeight="1" thickBot="1" x14ac:dyDescent="0.35">
      <c r="A26" s="3"/>
      <c r="B26" s="3"/>
      <c r="C26" s="1352"/>
      <c r="D26" s="1352"/>
      <c r="E26" s="1352"/>
      <c r="F26" s="1352"/>
      <c r="G26" s="1352"/>
      <c r="H26" s="1352"/>
      <c r="I26" s="1353"/>
      <c r="J26" s="1356"/>
      <c r="K26" s="1061"/>
      <c r="L26" s="1057"/>
      <c r="M26" s="1356"/>
      <c r="N26" s="1061"/>
      <c r="O26" s="1057"/>
      <c r="P26" s="1356"/>
      <c r="Q26" s="1061"/>
      <c r="R26" s="1057"/>
      <c r="S26" s="1356"/>
      <c r="T26" s="1061"/>
      <c r="U26" s="1057"/>
      <c r="V26" s="1356"/>
      <c r="W26" s="1061"/>
      <c r="X26" s="1061"/>
      <c r="Y26" s="3"/>
      <c r="Z26" s="3"/>
    </row>
    <row r="27" spans="1:31" ht="15" customHeight="1" x14ac:dyDescent="0.3">
      <c r="A27" s="3"/>
      <c r="B27" s="3"/>
      <c r="C27" s="1426" t="s">
        <v>85</v>
      </c>
      <c r="D27" s="1426"/>
      <c r="E27" s="1426"/>
      <c r="F27" s="1426"/>
      <c r="G27" s="1426"/>
      <c r="H27" s="1426"/>
      <c r="I27" s="1427"/>
      <c r="J27" s="1406">
        <f>J10</f>
        <v>4100</v>
      </c>
      <c r="K27" s="1407"/>
      <c r="L27" s="1408"/>
      <c r="M27" s="1400"/>
      <c r="N27" s="1401"/>
      <c r="O27" s="1402"/>
      <c r="P27" s="1403">
        <f>P10</f>
        <v>1126767.8571428573</v>
      </c>
      <c r="Q27" s="1404"/>
      <c r="R27" s="1405"/>
      <c r="S27" s="1406">
        <f>'Scheme Entry - Baseline'!$W$17</f>
        <v>0.13</v>
      </c>
      <c r="T27" s="1407"/>
      <c r="U27" s="1408"/>
      <c r="V27" s="1409">
        <f>P27*S27</f>
        <v>146479.82142857145</v>
      </c>
      <c r="W27" s="1410"/>
      <c r="X27" s="1410"/>
      <c r="Y27" s="3"/>
      <c r="Z27" s="3"/>
    </row>
    <row r="28" spans="1:31" ht="15" customHeight="1" x14ac:dyDescent="0.3">
      <c r="A28" s="3"/>
      <c r="B28" s="3"/>
      <c r="C28" s="1411" t="s">
        <v>86</v>
      </c>
      <c r="D28" s="1411"/>
      <c r="E28" s="1411"/>
      <c r="F28" s="1411"/>
      <c r="G28" s="1411"/>
      <c r="H28" s="1412" t="s">
        <v>87</v>
      </c>
      <c r="I28" s="1413"/>
      <c r="J28" s="1452">
        <f>J20</f>
        <v>2214</v>
      </c>
      <c r="K28" s="1453"/>
      <c r="L28" s="1454"/>
      <c r="M28" s="1417"/>
      <c r="N28" s="1418"/>
      <c r="O28" s="1419"/>
      <c r="P28" s="1420">
        <f>((('Scheme Entry - Baseline'!$W$46*1000)/('Scheme Entry - Baseline'!$W$9))*Overview!$E$29)*('Scheme Entry - Baseline'!$W$11/1000)*J28</f>
        <v>608454.64285714296</v>
      </c>
      <c r="Q28" s="1421"/>
      <c r="R28" s="1422"/>
      <c r="S28" s="1423">
        <f>'Scheme Entry - Baseline'!$W$17</f>
        <v>0.13</v>
      </c>
      <c r="T28" s="1424"/>
      <c r="U28" s="1425"/>
      <c r="V28" s="1428">
        <f>P28*S28</f>
        <v>79099.103571428583</v>
      </c>
      <c r="W28" s="1429"/>
      <c r="X28" s="1429"/>
      <c r="Y28" s="3"/>
      <c r="Z28" s="3"/>
    </row>
    <row r="29" spans="1:31" ht="15" customHeight="1" x14ac:dyDescent="0.3">
      <c r="A29" s="3"/>
      <c r="B29" s="3"/>
      <c r="C29" s="1430"/>
      <c r="D29" s="1430"/>
      <c r="E29" s="1430"/>
      <c r="F29" s="1430"/>
      <c r="G29" s="1430"/>
      <c r="H29" s="1052" t="s">
        <v>88</v>
      </c>
      <c r="I29" s="1431"/>
      <c r="J29" s="1449">
        <f>J21</f>
        <v>1886</v>
      </c>
      <c r="K29" s="1450"/>
      <c r="L29" s="1451"/>
      <c r="M29" s="1435">
        <v>0.33</v>
      </c>
      <c r="N29" s="1436"/>
      <c r="O29" s="1437"/>
      <c r="P29" s="1438">
        <f>((('Scheme Entry - Baseline'!$W$46*1000)/('Scheme Entry - Baseline'!$W$9))*Overview!$E$29)*('Scheme Entry - Baseline'!$W$11*J29/1000)*(100%-M29)</f>
        <v>347269.85357142845</v>
      </c>
      <c r="Q29" s="1439"/>
      <c r="R29" s="1440"/>
      <c r="S29" s="1441">
        <f>'Scheme Entry - Baseline'!$W$17</f>
        <v>0.13</v>
      </c>
      <c r="T29" s="1442"/>
      <c r="U29" s="1443"/>
      <c r="V29" s="1444">
        <f>P29*S29</f>
        <v>45145.080964285698</v>
      </c>
      <c r="W29" s="1445"/>
      <c r="X29" s="1445"/>
      <c r="Y29" s="3"/>
      <c r="Z29" s="3"/>
    </row>
    <row r="30" spans="1:31" ht="15" customHeight="1" thickBot="1" x14ac:dyDescent="0.35">
      <c r="A30" s="3"/>
      <c r="B30" s="3"/>
      <c r="C30" s="1387"/>
      <c r="D30" s="1387"/>
      <c r="E30" s="1387"/>
      <c r="F30" s="1387"/>
      <c r="G30" s="1387"/>
      <c r="H30" s="1387"/>
      <c r="I30" s="1388"/>
      <c r="J30" s="1446">
        <f>SUM(J28:L29)</f>
        <v>4100</v>
      </c>
      <c r="K30" s="1447"/>
      <c r="L30" s="1448"/>
      <c r="M30" s="1392"/>
      <c r="N30" s="1393"/>
      <c r="O30" s="1394"/>
      <c r="P30" s="1395">
        <f>SUM(P28:R29)</f>
        <v>955724.49642857141</v>
      </c>
      <c r="Q30" s="1396"/>
      <c r="R30" s="1397"/>
      <c r="S30" s="1392"/>
      <c r="T30" s="1393"/>
      <c r="U30" s="1394"/>
      <c r="V30" s="1385">
        <f>SUM(V28:X29)</f>
        <v>124244.18453571427</v>
      </c>
      <c r="W30" s="1386"/>
      <c r="X30" s="1386"/>
      <c r="Y30" s="3"/>
      <c r="Z30" s="3"/>
    </row>
    <row r="31" spans="1:31" ht="15.6" customHeight="1" x14ac:dyDescent="0.3">
      <c r="A31" s="79"/>
      <c r="B31" s="79"/>
      <c r="C31" s="677"/>
      <c r="D31" s="677"/>
      <c r="E31" s="677"/>
      <c r="F31" s="677"/>
      <c r="G31" s="677"/>
      <c r="H31" s="677"/>
      <c r="I31" s="677"/>
      <c r="J31" s="677"/>
      <c r="K31" s="677"/>
      <c r="L31" s="677"/>
      <c r="M31" s="677"/>
      <c r="N31" s="677"/>
      <c r="O31" s="677"/>
      <c r="P31" s="677"/>
      <c r="Q31" s="677"/>
      <c r="R31" s="677"/>
      <c r="S31" s="677"/>
      <c r="T31" s="677"/>
      <c r="U31" s="677"/>
      <c r="V31" s="677"/>
      <c r="W31" s="677"/>
      <c r="X31" s="677"/>
      <c r="Y31" s="79"/>
      <c r="Z31" s="3"/>
    </row>
    <row r="32" spans="1:31" ht="15.6" customHeight="1" x14ac:dyDescent="0.3">
      <c r="A32" s="15"/>
      <c r="B32" s="15"/>
      <c r="C32" s="107"/>
      <c r="D32" s="107"/>
      <c r="E32" s="107"/>
      <c r="F32" s="107"/>
      <c r="G32" s="107"/>
      <c r="H32" s="107"/>
      <c r="I32" s="107"/>
      <c r="J32" s="107"/>
      <c r="K32" s="107"/>
      <c r="L32" s="107"/>
      <c r="M32" s="107"/>
      <c r="N32" s="107"/>
      <c r="O32" s="107"/>
      <c r="P32" s="107"/>
      <c r="Q32" s="107"/>
      <c r="R32" s="107"/>
      <c r="S32" s="107"/>
      <c r="T32" s="107"/>
      <c r="U32" s="107"/>
      <c r="V32" s="107"/>
      <c r="W32" s="107"/>
      <c r="X32" s="107"/>
      <c r="Y32" s="15"/>
      <c r="Z32" s="15"/>
    </row>
    <row r="33" spans="1:26" ht="15" customHeight="1" x14ac:dyDescent="0.3">
      <c r="A33" s="1"/>
      <c r="B33" s="1"/>
      <c r="C33" s="108"/>
      <c r="D33" s="108"/>
      <c r="E33" s="108"/>
      <c r="F33" s="108"/>
      <c r="G33" s="108"/>
      <c r="H33" s="108"/>
      <c r="I33" s="108"/>
      <c r="J33" s="108"/>
      <c r="K33" s="108"/>
      <c r="L33" s="108"/>
      <c r="M33" s="108"/>
      <c r="N33" s="108"/>
      <c r="O33" s="108"/>
      <c r="P33" s="108"/>
      <c r="Q33" s="108"/>
      <c r="R33" s="108"/>
      <c r="S33" s="108"/>
      <c r="T33" s="108"/>
      <c r="U33" s="108"/>
      <c r="V33" s="108"/>
      <c r="W33" s="108"/>
      <c r="X33" s="108"/>
      <c r="Y33" s="1"/>
      <c r="Z33" s="1"/>
    </row>
    <row r="34" spans="1:26" ht="15" customHeight="1" x14ac:dyDescent="0.3">
      <c r="A34" s="3"/>
      <c r="B34" s="113" t="s">
        <v>118</v>
      </c>
      <c r="C34" s="3"/>
      <c r="D34" s="3"/>
      <c r="E34" s="3"/>
      <c r="F34" s="3"/>
      <c r="G34" s="3"/>
      <c r="H34" s="3"/>
      <c r="I34" s="3"/>
      <c r="J34" s="3"/>
      <c r="K34" s="3"/>
      <c r="L34" s="3"/>
      <c r="M34" s="22"/>
      <c r="N34" s="3"/>
      <c r="O34" s="3"/>
      <c r="P34" s="3"/>
      <c r="Q34" s="3"/>
      <c r="R34" s="3"/>
      <c r="S34" s="3"/>
      <c r="T34" s="3"/>
      <c r="U34" s="3"/>
      <c r="V34" s="3"/>
      <c r="W34" s="3"/>
      <c r="X34" s="3"/>
      <c r="Y34" s="3"/>
      <c r="Z34" s="3"/>
    </row>
    <row r="35" spans="1:26" ht="15" customHeight="1" x14ac:dyDescent="0.3">
      <c r="A35" s="3"/>
      <c r="B35" s="14"/>
      <c r="C35" s="1350" t="s">
        <v>37</v>
      </c>
      <c r="D35" s="1350"/>
      <c r="E35" s="1350"/>
      <c r="F35" s="1350"/>
      <c r="G35" s="1350"/>
      <c r="H35" s="1350"/>
      <c r="I35" s="1351"/>
      <c r="J35" s="1202" t="s">
        <v>90</v>
      </c>
      <c r="K35" s="1354"/>
      <c r="L35" s="1355"/>
      <c r="M35" s="1202" t="s">
        <v>91</v>
      </c>
      <c r="N35" s="1354"/>
      <c r="O35" s="1355"/>
      <c r="P35" s="1202" t="s">
        <v>92</v>
      </c>
      <c r="Q35" s="1354"/>
      <c r="R35" s="1355"/>
      <c r="S35" s="1202" t="s">
        <v>93</v>
      </c>
      <c r="T35" s="1354"/>
      <c r="U35" s="1355"/>
      <c r="V35" s="1202" t="s">
        <v>94</v>
      </c>
      <c r="W35" s="1354"/>
      <c r="X35" s="1354"/>
      <c r="Y35" s="3"/>
      <c r="Z35" s="3"/>
    </row>
    <row r="36" spans="1:26" ht="15" customHeight="1" thickBot="1" x14ac:dyDescent="0.35">
      <c r="A36" s="3"/>
      <c r="B36" s="3"/>
      <c r="C36" s="1352"/>
      <c r="D36" s="1352"/>
      <c r="E36" s="1352"/>
      <c r="F36" s="1352"/>
      <c r="G36" s="1352"/>
      <c r="H36" s="1352"/>
      <c r="I36" s="1353"/>
      <c r="J36" s="1356"/>
      <c r="K36" s="1061"/>
      <c r="L36" s="1057"/>
      <c r="M36" s="1356"/>
      <c r="N36" s="1061"/>
      <c r="O36" s="1057"/>
      <c r="P36" s="1356"/>
      <c r="Q36" s="1061"/>
      <c r="R36" s="1057"/>
      <c r="S36" s="1356"/>
      <c r="T36" s="1061"/>
      <c r="U36" s="1057"/>
      <c r="V36" s="1356"/>
      <c r="W36" s="1061"/>
      <c r="X36" s="1061"/>
      <c r="Y36" s="3"/>
      <c r="Z36" s="3"/>
    </row>
    <row r="37" spans="1:26" ht="15" customHeight="1" x14ac:dyDescent="0.3">
      <c r="A37" s="3"/>
      <c r="B37" s="3"/>
      <c r="C37" s="1426" t="s">
        <v>85</v>
      </c>
      <c r="D37" s="1426"/>
      <c r="E37" s="1426"/>
      <c r="F37" s="1426"/>
      <c r="G37" s="1426"/>
      <c r="H37" s="1426"/>
      <c r="I37" s="1427"/>
      <c r="J37" s="1406">
        <f>J10</f>
        <v>4100</v>
      </c>
      <c r="K37" s="1407"/>
      <c r="L37" s="1408"/>
      <c r="M37" s="1400"/>
      <c r="N37" s="1401"/>
      <c r="O37" s="1402"/>
      <c r="P37" s="1403">
        <f>P10</f>
        <v>1126767.8571428573</v>
      </c>
      <c r="Q37" s="1404"/>
      <c r="R37" s="1405"/>
      <c r="S37" s="1406">
        <f>'Scheme Entry - Baseline'!$W$17</f>
        <v>0.13</v>
      </c>
      <c r="T37" s="1407"/>
      <c r="U37" s="1408"/>
      <c r="V37" s="1409">
        <f>P37*S37</f>
        <v>146479.82142857145</v>
      </c>
      <c r="W37" s="1410"/>
      <c r="X37" s="1410"/>
      <c r="Y37" s="3"/>
      <c r="Z37" s="3"/>
    </row>
    <row r="38" spans="1:26" ht="15" customHeight="1" x14ac:dyDescent="0.3">
      <c r="A38" s="3"/>
      <c r="B38" s="3"/>
      <c r="C38" s="1411" t="s">
        <v>86</v>
      </c>
      <c r="D38" s="1411"/>
      <c r="E38" s="1411"/>
      <c r="F38" s="1411"/>
      <c r="G38" s="1411"/>
      <c r="H38" s="1412" t="s">
        <v>87</v>
      </c>
      <c r="I38" s="1413"/>
      <c r="J38" s="1452">
        <f>J20</f>
        <v>2214</v>
      </c>
      <c r="K38" s="1453"/>
      <c r="L38" s="1454"/>
      <c r="M38" s="1417"/>
      <c r="N38" s="1418"/>
      <c r="O38" s="1419"/>
      <c r="P38" s="1420">
        <f>((('Scheme Entry - Baseline'!$W$46*1000)/('Scheme Entry - Baseline'!$W$9))*Overview!$E$29)*('Scheme Entry - Baseline'!$W$11/1000)*J38</f>
        <v>608454.64285714296</v>
      </c>
      <c r="Q38" s="1421"/>
      <c r="R38" s="1422"/>
      <c r="S38" s="1423">
        <f>'Scheme Entry - Baseline'!$W$17</f>
        <v>0.13</v>
      </c>
      <c r="T38" s="1424"/>
      <c r="U38" s="1425"/>
      <c r="V38" s="1428">
        <f>P38*S38</f>
        <v>79099.103571428583</v>
      </c>
      <c r="W38" s="1429"/>
      <c r="X38" s="1429"/>
      <c r="Y38" s="3"/>
      <c r="Z38" s="3"/>
    </row>
    <row r="39" spans="1:26" ht="15" customHeight="1" x14ac:dyDescent="0.3">
      <c r="A39" s="3"/>
      <c r="B39" s="3"/>
      <c r="C39" s="1430"/>
      <c r="D39" s="1430"/>
      <c r="E39" s="1430"/>
      <c r="F39" s="1430"/>
      <c r="G39" s="1430"/>
      <c r="H39" s="1052" t="s">
        <v>88</v>
      </c>
      <c r="I39" s="1431"/>
      <c r="J39" s="1449">
        <f>J21</f>
        <v>1886</v>
      </c>
      <c r="K39" s="1450"/>
      <c r="L39" s="1451"/>
      <c r="M39" s="1435">
        <v>0.5</v>
      </c>
      <c r="N39" s="1436"/>
      <c r="O39" s="1437"/>
      <c r="P39" s="1438">
        <f>((('Scheme Entry - Baseline'!$W$46*1000)/('Scheme Entry - Baseline'!$W$9))*Overview!$E$29)*('Scheme Entry - Baseline'!$W$11*J39/1000)*(100%-M39)</f>
        <v>259156.6071428571</v>
      </c>
      <c r="Q39" s="1439"/>
      <c r="R39" s="1440"/>
      <c r="S39" s="1441">
        <f>'Scheme Entry - Baseline'!$W$17</f>
        <v>0.13</v>
      </c>
      <c r="T39" s="1442"/>
      <c r="U39" s="1443"/>
      <c r="V39" s="1444">
        <f>P39*S39</f>
        <v>33690.358928571426</v>
      </c>
      <c r="W39" s="1445"/>
      <c r="X39" s="1445"/>
      <c r="Y39" s="3"/>
      <c r="Z39" s="3"/>
    </row>
    <row r="40" spans="1:26" ht="15" customHeight="1" thickBot="1" x14ac:dyDescent="0.35">
      <c r="A40" s="3"/>
      <c r="B40" s="3"/>
      <c r="C40" s="1387"/>
      <c r="D40" s="1387"/>
      <c r="E40" s="1387"/>
      <c r="F40" s="1387"/>
      <c r="G40" s="1387"/>
      <c r="H40" s="1387"/>
      <c r="I40" s="1388"/>
      <c r="J40" s="1389">
        <f>SUM(J38:L39)</f>
        <v>4100</v>
      </c>
      <c r="K40" s="1390"/>
      <c r="L40" s="1391"/>
      <c r="M40" s="1392"/>
      <c r="N40" s="1393"/>
      <c r="O40" s="1394"/>
      <c r="P40" s="1395">
        <f>SUM(P38:R39)</f>
        <v>867611.25</v>
      </c>
      <c r="Q40" s="1396"/>
      <c r="R40" s="1397"/>
      <c r="S40" s="1392"/>
      <c r="T40" s="1393"/>
      <c r="U40" s="1394"/>
      <c r="V40" s="1385">
        <f>SUM(V38:X39)</f>
        <v>112789.46250000001</v>
      </c>
      <c r="W40" s="1386"/>
      <c r="X40" s="1386"/>
      <c r="Y40" s="3"/>
      <c r="Z40" s="3"/>
    </row>
    <row r="41" spans="1:26" ht="1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 customHeight="1" x14ac:dyDescent="0.3">
      <c r="A42" s="65"/>
      <c r="B42" s="30" t="s">
        <v>119</v>
      </c>
      <c r="C42" s="3"/>
      <c r="D42" s="3"/>
      <c r="E42" s="3"/>
      <c r="F42" s="3"/>
      <c r="G42" s="3"/>
      <c r="H42" s="3"/>
      <c r="I42" s="3"/>
      <c r="J42" s="3"/>
      <c r="K42" s="3"/>
      <c r="L42" s="3"/>
      <c r="M42" s="3"/>
      <c r="N42" s="3"/>
      <c r="O42" s="3"/>
      <c r="P42" s="3"/>
      <c r="Q42" s="3"/>
      <c r="R42" s="3"/>
      <c r="S42" s="3"/>
      <c r="T42" s="3"/>
      <c r="U42" s="3"/>
      <c r="V42" s="3"/>
      <c r="W42" s="3"/>
      <c r="X42" s="3"/>
      <c r="Y42" s="3"/>
      <c r="Z42" s="3"/>
    </row>
    <row r="43" spans="1:26" ht="15" customHeight="1" x14ac:dyDescent="0.3">
      <c r="A43" s="65"/>
      <c r="B43" s="114" t="s">
        <v>120</v>
      </c>
      <c r="C43" s="3"/>
      <c r="D43" s="3"/>
      <c r="E43" s="3"/>
      <c r="F43" s="3"/>
      <c r="G43" s="3"/>
      <c r="H43" s="3"/>
      <c r="I43" s="3"/>
      <c r="J43" s="3"/>
      <c r="K43" s="3"/>
      <c r="L43" s="3"/>
      <c r="M43" s="22"/>
      <c r="N43" s="3"/>
      <c r="O43" s="3"/>
      <c r="P43" s="3"/>
      <c r="Q43" s="3"/>
      <c r="R43" s="3"/>
      <c r="S43" s="3"/>
      <c r="T43" s="3"/>
      <c r="U43" s="3"/>
      <c r="V43" s="3"/>
      <c r="W43" s="3"/>
      <c r="X43" s="3"/>
      <c r="Y43" s="3"/>
      <c r="Z43" s="3"/>
    </row>
    <row r="44" spans="1:26" ht="15" customHeight="1" x14ac:dyDescent="0.3">
      <c r="A44" s="65"/>
      <c r="B44" s="31"/>
      <c r="C44" s="1350" t="s">
        <v>37</v>
      </c>
      <c r="D44" s="1350"/>
      <c r="E44" s="1350"/>
      <c r="F44" s="1350"/>
      <c r="G44" s="1350"/>
      <c r="H44" s="1350"/>
      <c r="I44" s="1351"/>
      <c r="J44" s="1202" t="s">
        <v>90</v>
      </c>
      <c r="K44" s="1354"/>
      <c r="L44" s="1355"/>
      <c r="M44" s="1202" t="s">
        <v>91</v>
      </c>
      <c r="N44" s="1354"/>
      <c r="O44" s="1355"/>
      <c r="P44" s="1202" t="s">
        <v>92</v>
      </c>
      <c r="Q44" s="1354"/>
      <c r="R44" s="1355"/>
      <c r="S44" s="1202" t="s">
        <v>93</v>
      </c>
      <c r="T44" s="1354"/>
      <c r="U44" s="1355"/>
      <c r="V44" s="1202" t="s">
        <v>94</v>
      </c>
      <c r="W44" s="1354"/>
      <c r="X44" s="1354"/>
      <c r="Y44" s="3"/>
      <c r="Z44" s="3"/>
    </row>
    <row r="45" spans="1:26" ht="15" customHeight="1" thickBot="1" x14ac:dyDescent="0.35">
      <c r="A45" s="65"/>
      <c r="B45" s="65"/>
      <c r="C45" s="1352"/>
      <c r="D45" s="1352"/>
      <c r="E45" s="1352"/>
      <c r="F45" s="1352"/>
      <c r="G45" s="1352"/>
      <c r="H45" s="1352"/>
      <c r="I45" s="1353"/>
      <c r="J45" s="1356"/>
      <c r="K45" s="1061"/>
      <c r="L45" s="1057"/>
      <c r="M45" s="1356"/>
      <c r="N45" s="1061"/>
      <c r="O45" s="1057"/>
      <c r="P45" s="1356"/>
      <c r="Q45" s="1061"/>
      <c r="R45" s="1057"/>
      <c r="S45" s="1356"/>
      <c r="T45" s="1061"/>
      <c r="U45" s="1057"/>
      <c r="V45" s="1356"/>
      <c r="W45" s="1061"/>
      <c r="X45" s="1061"/>
      <c r="Y45" s="3"/>
      <c r="Z45" s="3"/>
    </row>
    <row r="46" spans="1:26" ht="15" customHeight="1" x14ac:dyDescent="0.3">
      <c r="A46" s="65"/>
      <c r="B46" s="65"/>
      <c r="C46" s="1426" t="s">
        <v>85</v>
      </c>
      <c r="D46" s="1426"/>
      <c r="E46" s="1426"/>
      <c r="F46" s="1426"/>
      <c r="G46" s="1426"/>
      <c r="H46" s="1426"/>
      <c r="I46" s="1427"/>
      <c r="J46" s="1406">
        <f>J10</f>
        <v>4100</v>
      </c>
      <c r="K46" s="1407"/>
      <c r="L46" s="1408"/>
      <c r="M46" s="1400"/>
      <c r="N46" s="1401"/>
      <c r="O46" s="1402"/>
      <c r="P46" s="1403">
        <f>P10</f>
        <v>1126767.8571428573</v>
      </c>
      <c r="Q46" s="1404"/>
      <c r="R46" s="1405"/>
      <c r="S46" s="1406">
        <f>'Scheme Entry - Baseline'!$W$17</f>
        <v>0.13</v>
      </c>
      <c r="T46" s="1407"/>
      <c r="U46" s="1408"/>
      <c r="V46" s="1409">
        <f>P46*S46</f>
        <v>146479.82142857145</v>
      </c>
      <c r="W46" s="1410"/>
      <c r="X46" s="1410"/>
      <c r="Y46" s="3"/>
      <c r="Z46" s="3"/>
    </row>
    <row r="47" spans="1:26" ht="15" customHeight="1" x14ac:dyDescent="0.3">
      <c r="A47" s="65"/>
      <c r="B47" s="65"/>
      <c r="C47" s="1411" t="s">
        <v>86</v>
      </c>
      <c r="D47" s="1411"/>
      <c r="E47" s="1411"/>
      <c r="F47" s="1411"/>
      <c r="G47" s="1411"/>
      <c r="H47" s="1412" t="s">
        <v>87</v>
      </c>
      <c r="I47" s="1413"/>
      <c r="J47" s="1414">
        <f>J46*24%</f>
        <v>984</v>
      </c>
      <c r="K47" s="1415"/>
      <c r="L47" s="1416"/>
      <c r="M47" s="1417"/>
      <c r="N47" s="1418"/>
      <c r="O47" s="1419"/>
      <c r="P47" s="1420">
        <f>((('Scheme Entry - Baseline'!$W$46*1000)/('Scheme Entry - Baseline'!$W$9))*Overview!$E$29)*('Scheme Entry - Baseline'!$W$11/1000)*J47</f>
        <v>270424.28571428574</v>
      </c>
      <c r="Q47" s="1421"/>
      <c r="R47" s="1422"/>
      <c r="S47" s="1423">
        <f>'Scheme Entry - Baseline'!$W$17</f>
        <v>0.13</v>
      </c>
      <c r="T47" s="1424"/>
      <c r="U47" s="1425"/>
      <c r="V47" s="1428">
        <f>P47*S47</f>
        <v>35155.157142857148</v>
      </c>
      <c r="W47" s="1429"/>
      <c r="X47" s="1429"/>
      <c r="Y47" s="3"/>
      <c r="Z47" s="3"/>
    </row>
    <row r="48" spans="1:26" ht="15" customHeight="1" x14ac:dyDescent="0.3">
      <c r="A48" s="65"/>
      <c r="B48" s="65"/>
      <c r="C48" s="1430"/>
      <c r="D48" s="1430"/>
      <c r="E48" s="1430"/>
      <c r="F48" s="1430"/>
      <c r="G48" s="1430"/>
      <c r="H48" s="1052" t="s">
        <v>88</v>
      </c>
      <c r="I48" s="1431"/>
      <c r="J48" s="1432">
        <f>J46*76%</f>
        <v>3116</v>
      </c>
      <c r="K48" s="1433"/>
      <c r="L48" s="1434"/>
      <c r="M48" s="1435">
        <v>0.25</v>
      </c>
      <c r="N48" s="1436"/>
      <c r="O48" s="1437"/>
      <c r="P48" s="1438">
        <f>((('Scheme Entry - Baseline'!$W$46*1000)/('Scheme Entry - Baseline'!$W$9))*Overview!$E$29)*('Scheme Entry - Baseline'!$W$11*J48/1000)*(100%-M48)</f>
        <v>642257.67857142864</v>
      </c>
      <c r="Q48" s="1439"/>
      <c r="R48" s="1440"/>
      <c r="S48" s="1441">
        <f>'Scheme Entry - Baseline'!$W$17</f>
        <v>0.13</v>
      </c>
      <c r="T48" s="1442"/>
      <c r="U48" s="1443"/>
      <c r="V48" s="1444">
        <f>P48*S48</f>
        <v>83493.498214285719</v>
      </c>
      <c r="W48" s="1445"/>
      <c r="X48" s="1445"/>
      <c r="Y48" s="3"/>
      <c r="Z48" s="3"/>
    </row>
    <row r="49" spans="1:26" ht="15" customHeight="1" thickBot="1" x14ac:dyDescent="0.35">
      <c r="A49" s="65"/>
      <c r="B49" s="65"/>
      <c r="C49" s="1387"/>
      <c r="D49" s="1387"/>
      <c r="E49" s="1387"/>
      <c r="F49" s="1387"/>
      <c r="G49" s="1387"/>
      <c r="H49" s="1387"/>
      <c r="I49" s="1387"/>
      <c r="J49" s="1389">
        <f>SUM(J47:L48)</f>
        <v>4100</v>
      </c>
      <c r="K49" s="1390"/>
      <c r="L49" s="1391"/>
      <c r="M49" s="1392"/>
      <c r="N49" s="1393"/>
      <c r="O49" s="1394"/>
      <c r="P49" s="1395">
        <f>SUM(P47:R48)</f>
        <v>912681.96428571432</v>
      </c>
      <c r="Q49" s="1396"/>
      <c r="R49" s="1397"/>
      <c r="S49" s="1392"/>
      <c r="T49" s="1393"/>
      <c r="U49" s="1394"/>
      <c r="V49" s="1385">
        <f>SUM(V47:X48)</f>
        <v>118648.65535714287</v>
      </c>
      <c r="W49" s="1386"/>
      <c r="X49" s="1386"/>
      <c r="Y49" s="3"/>
      <c r="Z49" s="3"/>
    </row>
    <row r="50" spans="1:26" ht="15" customHeight="1" x14ac:dyDescent="0.3">
      <c r="A50" s="3"/>
      <c r="B50" s="930"/>
      <c r="C50" s="931"/>
      <c r="D50" s="931"/>
      <c r="E50" s="931"/>
      <c r="F50" s="931"/>
      <c r="G50" s="931"/>
      <c r="H50" s="931"/>
      <c r="I50" s="931"/>
      <c r="J50" s="931"/>
      <c r="K50" s="931"/>
      <c r="L50" s="931"/>
      <c r="M50" s="931"/>
      <c r="N50" s="931"/>
      <c r="O50" s="931"/>
      <c r="P50" s="931"/>
      <c r="Q50" s="931"/>
      <c r="R50" s="931"/>
      <c r="S50" s="931"/>
      <c r="T50" s="931"/>
      <c r="U50" s="931"/>
      <c r="V50" s="931"/>
      <c r="W50" s="931"/>
      <c r="X50" s="3"/>
      <c r="Y50" s="3"/>
      <c r="Z50" s="3"/>
    </row>
    <row r="51" spans="1:26" ht="15" customHeight="1" x14ac:dyDescent="0.3">
      <c r="A51" s="65"/>
      <c r="B51" s="116" t="s">
        <v>121</v>
      </c>
      <c r="C51" s="3"/>
      <c r="D51" s="3"/>
      <c r="E51" s="3"/>
      <c r="F51" s="3"/>
      <c r="G51" s="3"/>
      <c r="H51" s="3"/>
      <c r="I51" s="3"/>
      <c r="J51" s="3"/>
      <c r="K51" s="3"/>
      <c r="L51" s="3"/>
      <c r="M51" s="22"/>
      <c r="N51" s="3"/>
      <c r="O51" s="3"/>
      <c r="P51" s="3"/>
      <c r="Q51" s="3"/>
      <c r="R51" s="3"/>
      <c r="S51" s="3"/>
      <c r="T51" s="3"/>
      <c r="U51" s="3"/>
      <c r="V51" s="3"/>
      <c r="W51" s="3"/>
      <c r="X51" s="3"/>
      <c r="Y51" s="3"/>
      <c r="Z51" s="3"/>
    </row>
    <row r="52" spans="1:26" ht="15" customHeight="1" x14ac:dyDescent="0.3">
      <c r="A52" s="65"/>
      <c r="B52" s="31"/>
      <c r="C52" s="1350" t="s">
        <v>37</v>
      </c>
      <c r="D52" s="1350"/>
      <c r="E52" s="1350"/>
      <c r="F52" s="1350"/>
      <c r="G52" s="1350"/>
      <c r="H52" s="1350"/>
      <c r="I52" s="1351"/>
      <c r="J52" s="1202" t="s">
        <v>90</v>
      </c>
      <c r="K52" s="1354"/>
      <c r="L52" s="1355"/>
      <c r="M52" s="1202" t="s">
        <v>91</v>
      </c>
      <c r="N52" s="1354"/>
      <c r="O52" s="1355"/>
      <c r="P52" s="1202" t="s">
        <v>92</v>
      </c>
      <c r="Q52" s="1354"/>
      <c r="R52" s="1355"/>
      <c r="S52" s="1202" t="s">
        <v>93</v>
      </c>
      <c r="T52" s="1354"/>
      <c r="U52" s="1355"/>
      <c r="V52" s="1202" t="s">
        <v>94</v>
      </c>
      <c r="W52" s="1354"/>
      <c r="X52" s="1354"/>
      <c r="Y52" s="3"/>
      <c r="Z52" s="3"/>
    </row>
    <row r="53" spans="1:26" ht="15" customHeight="1" thickBot="1" x14ac:dyDescent="0.35">
      <c r="A53" s="65"/>
      <c r="B53" s="65"/>
      <c r="C53" s="1352"/>
      <c r="D53" s="1352"/>
      <c r="E53" s="1352"/>
      <c r="F53" s="1352"/>
      <c r="G53" s="1352"/>
      <c r="H53" s="1352"/>
      <c r="I53" s="1353"/>
      <c r="J53" s="1356"/>
      <c r="K53" s="1061"/>
      <c r="L53" s="1057"/>
      <c r="M53" s="1356"/>
      <c r="N53" s="1061"/>
      <c r="O53" s="1057"/>
      <c r="P53" s="1356"/>
      <c r="Q53" s="1061"/>
      <c r="R53" s="1057"/>
      <c r="S53" s="1356"/>
      <c r="T53" s="1061"/>
      <c r="U53" s="1057"/>
      <c r="V53" s="1356"/>
      <c r="W53" s="1061"/>
      <c r="X53" s="1061"/>
      <c r="Y53" s="3"/>
      <c r="Z53" s="3"/>
    </row>
    <row r="54" spans="1:26" ht="15" customHeight="1" x14ac:dyDescent="0.3">
      <c r="A54" s="65"/>
      <c r="B54" s="65"/>
      <c r="C54" s="1426" t="s">
        <v>85</v>
      </c>
      <c r="D54" s="1426"/>
      <c r="E54" s="1426"/>
      <c r="F54" s="1426"/>
      <c r="G54" s="1426"/>
      <c r="H54" s="1426"/>
      <c r="I54" s="1427"/>
      <c r="J54" s="1406">
        <f>J10</f>
        <v>4100</v>
      </c>
      <c r="K54" s="1407"/>
      <c r="L54" s="1408"/>
      <c r="M54" s="1400"/>
      <c r="N54" s="1401"/>
      <c r="O54" s="1402"/>
      <c r="P54" s="1403">
        <f>P10</f>
        <v>1126767.8571428573</v>
      </c>
      <c r="Q54" s="1404"/>
      <c r="R54" s="1405"/>
      <c r="S54" s="1406">
        <f>'Scheme Entry - Baseline'!$W$17</f>
        <v>0.13</v>
      </c>
      <c r="T54" s="1407"/>
      <c r="U54" s="1408"/>
      <c r="V54" s="1409">
        <f>P54*S54</f>
        <v>146479.82142857145</v>
      </c>
      <c r="W54" s="1410"/>
      <c r="X54" s="1410"/>
      <c r="Y54" s="3"/>
      <c r="Z54" s="3"/>
    </row>
    <row r="55" spans="1:26" ht="15" customHeight="1" x14ac:dyDescent="0.3">
      <c r="A55" s="65"/>
      <c r="B55" s="65"/>
      <c r="C55" s="1411" t="s">
        <v>86</v>
      </c>
      <c r="D55" s="1411"/>
      <c r="E55" s="1411"/>
      <c r="F55" s="1411"/>
      <c r="G55" s="1411"/>
      <c r="H55" s="1412" t="s">
        <v>87</v>
      </c>
      <c r="I55" s="1413"/>
      <c r="J55" s="1452">
        <f>J47</f>
        <v>984</v>
      </c>
      <c r="K55" s="1453"/>
      <c r="L55" s="1454"/>
      <c r="M55" s="1417"/>
      <c r="N55" s="1418"/>
      <c r="O55" s="1419"/>
      <c r="P55" s="1420">
        <f>((('Scheme Entry - Baseline'!$W$46*1000)/('Scheme Entry - Baseline'!$W$9))*Overview!$E$29)*('Scheme Entry - Baseline'!$W$11/1000)*J55</f>
        <v>270424.28571428574</v>
      </c>
      <c r="Q55" s="1421"/>
      <c r="R55" s="1422"/>
      <c r="S55" s="1423">
        <f>'Scheme Entry - Baseline'!$W$17</f>
        <v>0.13</v>
      </c>
      <c r="T55" s="1424"/>
      <c r="U55" s="1425"/>
      <c r="V55" s="1428">
        <f>P55*S55</f>
        <v>35155.157142857148</v>
      </c>
      <c r="W55" s="1429"/>
      <c r="X55" s="1429"/>
      <c r="Y55" s="3"/>
      <c r="Z55" s="3"/>
    </row>
    <row r="56" spans="1:26" ht="15" customHeight="1" x14ac:dyDescent="0.3">
      <c r="A56" s="65"/>
      <c r="B56" s="65"/>
      <c r="C56" s="1430"/>
      <c r="D56" s="1430"/>
      <c r="E56" s="1430"/>
      <c r="F56" s="1430"/>
      <c r="G56" s="1430"/>
      <c r="H56" s="1052" t="s">
        <v>88</v>
      </c>
      <c r="I56" s="1431"/>
      <c r="J56" s="1449">
        <f>J48</f>
        <v>3116</v>
      </c>
      <c r="K56" s="1450"/>
      <c r="L56" s="1451"/>
      <c r="M56" s="1435">
        <v>0.33</v>
      </c>
      <c r="N56" s="1436"/>
      <c r="O56" s="1437"/>
      <c r="P56" s="1438">
        <f>((('Scheme Entry - Baseline'!$W$46*1000)/('Scheme Entry - Baseline'!$W$9))*Overview!$E$29)*('Scheme Entry - Baseline'!$W$11*J56/1000)*(100%-M56)</f>
        <v>573750.19285714289</v>
      </c>
      <c r="Q56" s="1439"/>
      <c r="R56" s="1440"/>
      <c r="S56" s="1441">
        <f>'Scheme Entry - Baseline'!$W$17</f>
        <v>0.13</v>
      </c>
      <c r="T56" s="1442"/>
      <c r="U56" s="1443"/>
      <c r="V56" s="1444">
        <f>P56*S56</f>
        <v>74587.525071428579</v>
      </c>
      <c r="W56" s="1445"/>
      <c r="X56" s="1445"/>
      <c r="Y56" s="3"/>
      <c r="Z56" s="3"/>
    </row>
    <row r="57" spans="1:26" ht="15" customHeight="1" thickBot="1" x14ac:dyDescent="0.35">
      <c r="A57" s="65"/>
      <c r="B57" s="65"/>
      <c r="C57" s="1387"/>
      <c r="D57" s="1387"/>
      <c r="E57" s="1387"/>
      <c r="F57" s="1387"/>
      <c r="G57" s="1387"/>
      <c r="H57" s="1387"/>
      <c r="I57" s="1387"/>
      <c r="J57" s="1389">
        <f>SUM(J55:L56)</f>
        <v>4100</v>
      </c>
      <c r="K57" s="1390"/>
      <c r="L57" s="1391"/>
      <c r="M57" s="1392"/>
      <c r="N57" s="1393"/>
      <c r="O57" s="1394"/>
      <c r="P57" s="1395">
        <f>SUM(P55:R56)</f>
        <v>844174.47857142868</v>
      </c>
      <c r="Q57" s="1396"/>
      <c r="R57" s="1397"/>
      <c r="S57" s="1392"/>
      <c r="T57" s="1393"/>
      <c r="U57" s="1394"/>
      <c r="V57" s="1385">
        <f>SUM(V55:X56)</f>
        <v>109742.68221428573</v>
      </c>
      <c r="W57" s="1386"/>
      <c r="X57" s="1386"/>
      <c r="Y57" s="3"/>
      <c r="Z57" s="3"/>
    </row>
    <row r="58" spans="1:26" ht="15" customHeight="1" x14ac:dyDescent="0.3">
      <c r="A58" s="3"/>
      <c r="B58" s="930"/>
      <c r="C58" s="931"/>
      <c r="D58" s="931"/>
      <c r="E58" s="931"/>
      <c r="F58" s="931"/>
      <c r="G58" s="931"/>
      <c r="H58" s="931"/>
      <c r="I58" s="931"/>
      <c r="J58" s="931"/>
      <c r="K58" s="931"/>
      <c r="L58" s="931"/>
      <c r="M58" s="931"/>
      <c r="N58" s="931"/>
      <c r="O58" s="931"/>
      <c r="P58" s="931"/>
      <c r="Q58" s="931"/>
      <c r="R58" s="931"/>
      <c r="S58" s="931"/>
      <c r="T58" s="931"/>
      <c r="U58" s="931"/>
      <c r="V58" s="931"/>
      <c r="W58" s="931"/>
      <c r="X58" s="3"/>
      <c r="Y58" s="3"/>
      <c r="Z58" s="3"/>
    </row>
    <row r="59" spans="1:26" ht="15" customHeight="1" x14ac:dyDescent="0.3">
      <c r="A59" s="3"/>
      <c r="B59" s="677"/>
      <c r="C59" s="677"/>
      <c r="D59" s="677"/>
      <c r="E59" s="677"/>
      <c r="F59" s="677"/>
      <c r="G59" s="677"/>
      <c r="H59" s="677"/>
      <c r="I59" s="677"/>
      <c r="J59" s="677"/>
      <c r="K59" s="677"/>
      <c r="L59" s="677"/>
      <c r="M59" s="677"/>
      <c r="N59" s="677"/>
      <c r="O59" s="677"/>
      <c r="P59" s="677"/>
      <c r="Q59" s="677"/>
      <c r="R59" s="677"/>
      <c r="S59" s="677"/>
      <c r="T59" s="677"/>
      <c r="U59" s="677"/>
      <c r="V59" s="677"/>
      <c r="W59" s="677"/>
      <c r="X59" s="3"/>
      <c r="Y59" s="3"/>
      <c r="Z59" s="3"/>
    </row>
    <row r="60" spans="1:26" ht="15" customHeight="1" x14ac:dyDescent="0.3">
      <c r="A60" s="3"/>
      <c r="B60" s="677"/>
      <c r="C60" s="677"/>
      <c r="D60" s="677"/>
      <c r="E60" s="677"/>
      <c r="F60" s="677"/>
      <c r="G60" s="677"/>
      <c r="H60" s="677"/>
      <c r="I60" s="677"/>
      <c r="J60" s="677"/>
      <c r="K60" s="677"/>
      <c r="L60" s="677"/>
      <c r="M60" s="677"/>
      <c r="N60" s="677"/>
      <c r="O60" s="677"/>
      <c r="P60" s="677"/>
      <c r="Q60" s="677"/>
      <c r="R60" s="677"/>
      <c r="S60" s="677"/>
      <c r="T60" s="677"/>
      <c r="U60" s="677"/>
      <c r="V60" s="677"/>
      <c r="W60" s="677"/>
      <c r="X60" s="3"/>
      <c r="Y60" s="3"/>
      <c r="Z60" s="3"/>
    </row>
    <row r="61" spans="1:26" ht="15" customHeight="1" x14ac:dyDescent="0.3">
      <c r="A61" s="3"/>
      <c r="B61" s="677"/>
      <c r="C61" s="677"/>
      <c r="D61" s="677"/>
      <c r="E61" s="677"/>
      <c r="F61" s="677"/>
      <c r="G61" s="677"/>
      <c r="H61" s="677"/>
      <c r="I61" s="677"/>
      <c r="J61" s="677"/>
      <c r="K61" s="677"/>
      <c r="L61" s="677"/>
      <c r="M61" s="677"/>
      <c r="N61" s="677"/>
      <c r="O61" s="677"/>
      <c r="P61" s="677"/>
      <c r="Q61" s="677"/>
      <c r="R61" s="677"/>
      <c r="S61" s="677"/>
      <c r="T61" s="677"/>
      <c r="U61" s="677"/>
      <c r="V61" s="677"/>
      <c r="W61" s="677"/>
      <c r="X61" s="3"/>
      <c r="Y61" s="3"/>
      <c r="Z61" s="3"/>
    </row>
    <row r="62" spans="1:26" ht="15" customHeight="1" x14ac:dyDescent="0.3">
      <c r="A62" s="3"/>
      <c r="B62" s="67"/>
      <c r="C62" s="67"/>
      <c r="D62" s="67"/>
      <c r="E62" s="67"/>
      <c r="F62" s="67"/>
      <c r="G62" s="67"/>
      <c r="H62" s="67"/>
      <c r="I62" s="67"/>
      <c r="J62" s="67"/>
      <c r="K62" s="67"/>
      <c r="L62" s="67"/>
      <c r="M62" s="67"/>
      <c r="N62" s="67"/>
      <c r="O62" s="67"/>
      <c r="P62" s="67"/>
      <c r="Q62" s="67"/>
      <c r="R62" s="67"/>
      <c r="S62" s="67"/>
      <c r="T62" s="67"/>
      <c r="U62" s="67"/>
      <c r="V62" s="67"/>
      <c r="W62" s="67"/>
      <c r="X62" s="3"/>
      <c r="Y62" s="3"/>
      <c r="Z62" s="3"/>
    </row>
    <row r="63" spans="1:26" ht="15" customHeight="1" x14ac:dyDescent="0.3">
      <c r="A63" s="3"/>
      <c r="B63" s="67"/>
      <c r="C63" s="67"/>
      <c r="D63" s="67"/>
      <c r="E63" s="67"/>
      <c r="F63" s="67"/>
      <c r="G63" s="67"/>
      <c r="H63" s="67"/>
      <c r="I63" s="67"/>
      <c r="J63" s="67"/>
      <c r="K63" s="67"/>
      <c r="L63" s="67"/>
      <c r="M63" s="67"/>
      <c r="N63" s="67"/>
      <c r="O63" s="67"/>
      <c r="P63" s="67"/>
      <c r="Q63" s="67"/>
      <c r="R63" s="67"/>
      <c r="S63" s="67"/>
      <c r="T63" s="67"/>
      <c r="U63" s="67"/>
      <c r="V63" s="67"/>
      <c r="W63" s="67"/>
      <c r="X63" s="3"/>
      <c r="Y63" s="3"/>
      <c r="Z63" s="3"/>
    </row>
    <row r="64" spans="1:26" ht="15" customHeight="1" x14ac:dyDescent="0.3">
      <c r="A64" s="15"/>
      <c r="B64" s="107"/>
      <c r="C64" s="107"/>
      <c r="D64" s="107"/>
      <c r="E64" s="107"/>
      <c r="F64" s="107"/>
      <c r="G64" s="107"/>
      <c r="H64" s="107"/>
      <c r="I64" s="107"/>
      <c r="J64" s="107"/>
      <c r="K64" s="107"/>
      <c r="L64" s="107"/>
      <c r="M64" s="107"/>
      <c r="N64" s="107"/>
      <c r="O64" s="107"/>
      <c r="P64" s="107"/>
      <c r="Q64" s="107"/>
      <c r="R64" s="107"/>
      <c r="S64" s="107"/>
      <c r="T64" s="107"/>
      <c r="U64" s="107"/>
      <c r="V64" s="107"/>
      <c r="W64" s="107"/>
      <c r="X64" s="15"/>
      <c r="Y64" s="15"/>
      <c r="Z64" s="15"/>
    </row>
    <row r="65" spans="1:29" ht="15" customHeight="1" x14ac:dyDescent="0.3">
      <c r="A65" s="1"/>
      <c r="B65" s="108"/>
      <c r="C65" s="108"/>
      <c r="D65" s="108"/>
      <c r="E65" s="108"/>
      <c r="F65" s="108"/>
      <c r="G65" s="108"/>
      <c r="H65" s="108"/>
      <c r="I65" s="108"/>
      <c r="J65" s="108"/>
      <c r="K65" s="108"/>
      <c r="L65" s="108"/>
      <c r="M65" s="108"/>
      <c r="N65" s="108"/>
      <c r="O65" s="108"/>
      <c r="P65" s="108"/>
      <c r="Q65" s="108"/>
      <c r="R65" s="108"/>
      <c r="S65" s="108"/>
      <c r="T65" s="108"/>
      <c r="U65" s="108"/>
      <c r="V65" s="108"/>
      <c r="W65" s="108"/>
      <c r="X65" s="1"/>
      <c r="Y65" s="1"/>
      <c r="Z65" s="1"/>
    </row>
    <row r="66" spans="1:29" ht="15" customHeight="1" x14ac:dyDescent="0.3">
      <c r="A66" s="65"/>
      <c r="B66" s="117" t="s">
        <v>122</v>
      </c>
      <c r="C66" s="3"/>
      <c r="D66" s="3"/>
      <c r="E66" s="3"/>
      <c r="F66" s="3"/>
      <c r="G66" s="3"/>
      <c r="H66" s="3"/>
      <c r="I66" s="3"/>
      <c r="J66" s="3"/>
      <c r="K66" s="3"/>
      <c r="L66" s="3"/>
      <c r="M66" s="22"/>
      <c r="N66" s="3"/>
      <c r="O66" s="3"/>
      <c r="P66" s="3"/>
      <c r="Q66" s="3"/>
      <c r="R66" s="3"/>
      <c r="S66" s="3"/>
      <c r="T66" s="3"/>
      <c r="U66" s="3"/>
      <c r="V66" s="3"/>
      <c r="W66" s="3"/>
      <c r="X66" s="3"/>
      <c r="Y66" s="3"/>
      <c r="Z66" s="3"/>
    </row>
    <row r="67" spans="1:29" ht="15" customHeight="1" x14ac:dyDescent="0.3">
      <c r="A67" s="65"/>
      <c r="B67" s="31"/>
      <c r="C67" s="1350" t="s">
        <v>37</v>
      </c>
      <c r="D67" s="1350"/>
      <c r="E67" s="1350"/>
      <c r="F67" s="1350"/>
      <c r="G67" s="1350"/>
      <c r="H67" s="1350"/>
      <c r="I67" s="1351"/>
      <c r="J67" s="1202" t="s">
        <v>90</v>
      </c>
      <c r="K67" s="1354"/>
      <c r="L67" s="1355"/>
      <c r="M67" s="1202" t="s">
        <v>91</v>
      </c>
      <c r="N67" s="1354"/>
      <c r="O67" s="1355"/>
      <c r="P67" s="1202" t="s">
        <v>92</v>
      </c>
      <c r="Q67" s="1354"/>
      <c r="R67" s="1355"/>
      <c r="S67" s="1202" t="s">
        <v>93</v>
      </c>
      <c r="T67" s="1354"/>
      <c r="U67" s="1355"/>
      <c r="V67" s="1202" t="s">
        <v>94</v>
      </c>
      <c r="W67" s="1354"/>
      <c r="X67" s="1354"/>
      <c r="Y67" s="3"/>
      <c r="Z67" s="3"/>
    </row>
    <row r="68" spans="1:29" ht="15" customHeight="1" thickBot="1" x14ac:dyDescent="0.35">
      <c r="A68" s="65"/>
      <c r="B68" s="65"/>
      <c r="C68" s="1352"/>
      <c r="D68" s="1352"/>
      <c r="E68" s="1352"/>
      <c r="F68" s="1352"/>
      <c r="G68" s="1352"/>
      <c r="H68" s="1352"/>
      <c r="I68" s="1353"/>
      <c r="J68" s="1356"/>
      <c r="K68" s="1061"/>
      <c r="L68" s="1057"/>
      <c r="M68" s="1356"/>
      <c r="N68" s="1061"/>
      <c r="O68" s="1057"/>
      <c r="P68" s="1356"/>
      <c r="Q68" s="1061"/>
      <c r="R68" s="1057"/>
      <c r="S68" s="1356"/>
      <c r="T68" s="1061"/>
      <c r="U68" s="1057"/>
      <c r="V68" s="1356"/>
      <c r="W68" s="1061"/>
      <c r="X68" s="1061"/>
      <c r="Y68" s="3"/>
      <c r="Z68" s="3"/>
    </row>
    <row r="69" spans="1:29" ht="15" customHeight="1" x14ac:dyDescent="0.3">
      <c r="A69" s="65"/>
      <c r="B69" s="65"/>
      <c r="C69" s="1426" t="s">
        <v>85</v>
      </c>
      <c r="D69" s="1426"/>
      <c r="E69" s="1426"/>
      <c r="F69" s="1426"/>
      <c r="G69" s="1426"/>
      <c r="H69" s="1426"/>
      <c r="I69" s="1427"/>
      <c r="J69" s="1406">
        <f>J10</f>
        <v>4100</v>
      </c>
      <c r="K69" s="1407"/>
      <c r="L69" s="1408"/>
      <c r="M69" s="1400"/>
      <c r="N69" s="1401"/>
      <c r="O69" s="1402"/>
      <c r="P69" s="1403">
        <f>P10</f>
        <v>1126767.8571428573</v>
      </c>
      <c r="Q69" s="1404"/>
      <c r="R69" s="1405"/>
      <c r="S69" s="1406">
        <f>'Scheme Entry - Baseline'!$W$17</f>
        <v>0.13</v>
      </c>
      <c r="T69" s="1407"/>
      <c r="U69" s="1408"/>
      <c r="V69" s="1409">
        <f>P69*S69</f>
        <v>146479.82142857145</v>
      </c>
      <c r="W69" s="1410"/>
      <c r="X69" s="1410"/>
      <c r="Y69" s="3"/>
      <c r="Z69" s="3"/>
    </row>
    <row r="70" spans="1:29" ht="15" customHeight="1" x14ac:dyDescent="0.3">
      <c r="A70" s="65"/>
      <c r="B70" s="65"/>
      <c r="C70" s="1411" t="s">
        <v>86</v>
      </c>
      <c r="D70" s="1411"/>
      <c r="E70" s="1411"/>
      <c r="F70" s="1411"/>
      <c r="G70" s="1411"/>
      <c r="H70" s="1412" t="s">
        <v>87</v>
      </c>
      <c r="I70" s="1413"/>
      <c r="J70" s="1452">
        <f>J47</f>
        <v>984</v>
      </c>
      <c r="K70" s="1453"/>
      <c r="L70" s="1454"/>
      <c r="M70" s="1417"/>
      <c r="N70" s="1418"/>
      <c r="O70" s="1419"/>
      <c r="P70" s="1420">
        <f>((('Scheme Entry - Baseline'!$W$46*1000)/('Scheme Entry - Baseline'!$W$9))*Overview!$E$29)*('Scheme Entry - Baseline'!$W$11/1000)*J70</f>
        <v>270424.28571428574</v>
      </c>
      <c r="Q70" s="1421"/>
      <c r="R70" s="1422"/>
      <c r="S70" s="1423">
        <f>'Scheme Entry - Baseline'!$W$17</f>
        <v>0.13</v>
      </c>
      <c r="T70" s="1424"/>
      <c r="U70" s="1425"/>
      <c r="V70" s="1428">
        <f>P70*S70</f>
        <v>35155.157142857148</v>
      </c>
      <c r="W70" s="1429"/>
      <c r="X70" s="1429"/>
      <c r="Y70" s="3"/>
      <c r="Z70" s="3"/>
    </row>
    <row r="71" spans="1:29" ht="15" customHeight="1" x14ac:dyDescent="0.3">
      <c r="A71" s="65"/>
      <c r="B71" s="65"/>
      <c r="C71" s="1430"/>
      <c r="D71" s="1430"/>
      <c r="E71" s="1430"/>
      <c r="F71" s="1430"/>
      <c r="G71" s="1430"/>
      <c r="H71" s="1052" t="s">
        <v>88</v>
      </c>
      <c r="I71" s="1431"/>
      <c r="J71" s="1449">
        <f>J48</f>
        <v>3116</v>
      </c>
      <c r="K71" s="1450"/>
      <c r="L71" s="1451"/>
      <c r="M71" s="1435">
        <v>0.5</v>
      </c>
      <c r="N71" s="1436"/>
      <c r="O71" s="1437"/>
      <c r="P71" s="1438">
        <f>((('Scheme Entry - Baseline'!$W$46*1000)/('Scheme Entry - Baseline'!$W$9))*Overview!$E$29)*('Scheme Entry - Baseline'!$W$11*J71/1000)*(100%-M71)</f>
        <v>428171.78571428574</v>
      </c>
      <c r="Q71" s="1439"/>
      <c r="R71" s="1440"/>
      <c r="S71" s="1441">
        <f>'Scheme Entry - Baseline'!$W$17</f>
        <v>0.13</v>
      </c>
      <c r="T71" s="1442"/>
      <c r="U71" s="1443"/>
      <c r="V71" s="1444">
        <f>P71*S71</f>
        <v>55662.332142857151</v>
      </c>
      <c r="W71" s="1445"/>
      <c r="X71" s="1445"/>
      <c r="Y71" s="3"/>
      <c r="Z71" s="3"/>
    </row>
    <row r="72" spans="1:29" ht="15" customHeight="1" thickBot="1" x14ac:dyDescent="0.35">
      <c r="A72" s="65"/>
      <c r="B72" s="65"/>
      <c r="C72" s="1387"/>
      <c r="D72" s="1387"/>
      <c r="E72" s="1387"/>
      <c r="F72" s="1387"/>
      <c r="G72" s="1387"/>
      <c r="H72" s="1387"/>
      <c r="I72" s="1387"/>
      <c r="J72" s="1389">
        <f>SUM(J70:L71)</f>
        <v>4100</v>
      </c>
      <c r="K72" s="1390"/>
      <c r="L72" s="1391"/>
      <c r="M72" s="1392"/>
      <c r="N72" s="1393"/>
      <c r="O72" s="1394"/>
      <c r="P72" s="1395">
        <f>SUM(P70:R71)</f>
        <v>698596.07142857148</v>
      </c>
      <c r="Q72" s="1396"/>
      <c r="R72" s="1397"/>
      <c r="S72" s="1392"/>
      <c r="T72" s="1393"/>
      <c r="U72" s="1394"/>
      <c r="V72" s="1385">
        <f>SUM(V70:X71)</f>
        <v>90817.489285714299</v>
      </c>
      <c r="W72" s="1386"/>
      <c r="X72" s="1386"/>
      <c r="Y72" s="3"/>
      <c r="Z72" s="3"/>
    </row>
    <row r="73" spans="1:29" ht="15" customHeight="1" x14ac:dyDescent="0.3">
      <c r="A73" s="65"/>
      <c r="B73" s="65"/>
      <c r="C73" s="62"/>
      <c r="D73" s="62"/>
      <c r="E73" s="62"/>
      <c r="F73" s="62"/>
      <c r="G73" s="62"/>
      <c r="H73" s="62"/>
      <c r="I73" s="62"/>
      <c r="J73" s="109"/>
      <c r="K73" s="109"/>
      <c r="L73" s="109"/>
      <c r="M73" s="63"/>
      <c r="N73" s="63"/>
      <c r="O73" s="63"/>
      <c r="P73" s="110"/>
      <c r="Q73" s="110"/>
      <c r="R73" s="110"/>
      <c r="S73" s="63"/>
      <c r="T73" s="63"/>
      <c r="U73" s="63"/>
      <c r="V73" s="111"/>
      <c r="W73" s="111"/>
      <c r="X73" s="111"/>
      <c r="Y73" s="3"/>
      <c r="Z73" s="3"/>
    </row>
    <row r="74" spans="1:29" ht="15" customHeight="1" x14ac:dyDescent="0.3">
      <c r="A74" s="65"/>
      <c r="B74" s="30" t="s">
        <v>123</v>
      </c>
      <c r="C74" s="3"/>
      <c r="D74" s="3"/>
      <c r="E74" s="3"/>
      <c r="F74" s="3"/>
      <c r="G74" s="3"/>
      <c r="H74" s="3"/>
      <c r="I74" s="3"/>
      <c r="J74" s="3"/>
      <c r="K74" s="3"/>
      <c r="L74" s="3"/>
      <c r="M74" s="3"/>
      <c r="N74" s="3"/>
      <c r="O74" s="3"/>
      <c r="P74" s="3"/>
      <c r="Q74" s="3"/>
      <c r="R74" s="3"/>
      <c r="S74" s="3"/>
      <c r="T74" s="3"/>
      <c r="U74" s="3"/>
      <c r="V74" s="3"/>
      <c r="W74" s="3"/>
      <c r="X74" s="3"/>
      <c r="Y74" s="3"/>
      <c r="Z74" s="3"/>
    </row>
    <row r="75" spans="1:29" ht="15" customHeight="1" x14ac:dyDescent="0.3">
      <c r="A75" s="65"/>
      <c r="B75" s="120" t="s">
        <v>126</v>
      </c>
      <c r="C75" s="3"/>
      <c r="D75" s="3"/>
      <c r="E75" s="3"/>
      <c r="F75" s="3"/>
      <c r="G75" s="3"/>
      <c r="H75" s="3"/>
      <c r="I75" s="3"/>
      <c r="J75" s="3"/>
      <c r="K75" s="3"/>
      <c r="L75" s="3"/>
      <c r="M75" s="22"/>
      <c r="N75" s="3"/>
      <c r="O75" s="3"/>
      <c r="P75" s="3"/>
      <c r="Q75" s="3"/>
      <c r="R75" s="3"/>
      <c r="S75" s="3"/>
      <c r="T75" s="3"/>
      <c r="U75" s="3"/>
      <c r="V75" s="3"/>
      <c r="W75" s="3"/>
      <c r="X75" s="3"/>
      <c r="Y75" s="3"/>
      <c r="Z75" s="3"/>
    </row>
    <row r="76" spans="1:29" ht="15" customHeight="1" x14ac:dyDescent="0.3">
      <c r="A76" s="65"/>
      <c r="B76" s="31"/>
      <c r="C76" s="1350" t="s">
        <v>37</v>
      </c>
      <c r="D76" s="1350"/>
      <c r="E76" s="1350"/>
      <c r="F76" s="1350"/>
      <c r="G76" s="1350"/>
      <c r="H76" s="1350"/>
      <c r="I76" s="1351"/>
      <c r="J76" s="1202" t="s">
        <v>90</v>
      </c>
      <c r="K76" s="1354"/>
      <c r="L76" s="1355"/>
      <c r="M76" s="1202" t="s">
        <v>91</v>
      </c>
      <c r="N76" s="1354"/>
      <c r="O76" s="1355"/>
      <c r="P76" s="1202" t="s">
        <v>92</v>
      </c>
      <c r="Q76" s="1354"/>
      <c r="R76" s="1355"/>
      <c r="S76" s="1202" t="s">
        <v>93</v>
      </c>
      <c r="T76" s="1354"/>
      <c r="U76" s="1355"/>
      <c r="V76" s="1202" t="s">
        <v>94</v>
      </c>
      <c r="W76" s="1354"/>
      <c r="X76" s="1354"/>
      <c r="Y76" s="3"/>
      <c r="Z76" s="3"/>
    </row>
    <row r="77" spans="1:29" ht="15" customHeight="1" thickBot="1" x14ac:dyDescent="0.35">
      <c r="A77" s="65"/>
      <c r="B77" s="65"/>
      <c r="C77" s="1352"/>
      <c r="D77" s="1352"/>
      <c r="E77" s="1352"/>
      <c r="F77" s="1352"/>
      <c r="G77" s="1352"/>
      <c r="H77" s="1352"/>
      <c r="I77" s="1353"/>
      <c r="J77" s="1356"/>
      <c r="K77" s="1061"/>
      <c r="L77" s="1057"/>
      <c r="M77" s="1356"/>
      <c r="N77" s="1061"/>
      <c r="O77" s="1057"/>
      <c r="P77" s="1356"/>
      <c r="Q77" s="1061"/>
      <c r="R77" s="1057"/>
      <c r="S77" s="1356"/>
      <c r="T77" s="1061"/>
      <c r="U77" s="1057"/>
      <c r="V77" s="1356"/>
      <c r="W77" s="1061"/>
      <c r="X77" s="1061"/>
      <c r="Y77" s="3"/>
      <c r="Z77" s="3"/>
    </row>
    <row r="78" spans="1:29" ht="15" customHeight="1" x14ac:dyDescent="0.3">
      <c r="A78" s="65"/>
      <c r="B78" s="65"/>
      <c r="C78" s="1426" t="s">
        <v>85</v>
      </c>
      <c r="D78" s="1426"/>
      <c r="E78" s="1426"/>
      <c r="F78" s="1426"/>
      <c r="G78" s="1426"/>
      <c r="H78" s="1426"/>
      <c r="I78" s="1427"/>
      <c r="J78" s="1406">
        <f>J10</f>
        <v>4100</v>
      </c>
      <c r="K78" s="1407"/>
      <c r="L78" s="1408"/>
      <c r="M78" s="1400"/>
      <c r="N78" s="1401"/>
      <c r="O78" s="1402"/>
      <c r="P78" s="1403">
        <f>P10</f>
        <v>1126767.8571428573</v>
      </c>
      <c r="Q78" s="1404"/>
      <c r="R78" s="1405"/>
      <c r="S78" s="1406">
        <f>'Scheme Entry - Baseline'!$W$17</f>
        <v>0.13</v>
      </c>
      <c r="T78" s="1407"/>
      <c r="U78" s="1408"/>
      <c r="V78" s="1409">
        <f>P78*S78</f>
        <v>146479.82142857145</v>
      </c>
      <c r="W78" s="1410"/>
      <c r="X78" s="1410"/>
      <c r="Y78" s="3"/>
      <c r="Z78" s="3"/>
    </row>
    <row r="79" spans="1:29" ht="15" customHeight="1" x14ac:dyDescent="0.3">
      <c r="A79" s="65"/>
      <c r="B79" s="65"/>
      <c r="C79" s="1411" t="s">
        <v>86</v>
      </c>
      <c r="D79" s="1411"/>
      <c r="E79" s="1411"/>
      <c r="F79" s="1411"/>
      <c r="G79" s="1411"/>
      <c r="H79" s="1412" t="s">
        <v>87</v>
      </c>
      <c r="I79" s="1413"/>
      <c r="J79" s="1414">
        <f>J78*19%</f>
        <v>779</v>
      </c>
      <c r="K79" s="1415"/>
      <c r="L79" s="1416"/>
      <c r="M79" s="1417"/>
      <c r="N79" s="1418"/>
      <c r="O79" s="1419"/>
      <c r="P79" s="1420">
        <f>((('Scheme Entry - Baseline'!$W$46*1000)/('Scheme Entry - Baseline'!$W$9))*Overview!$E$29)*('Scheme Entry - Baseline'!$W$11/1000)*J79</f>
        <v>214085.8928571429</v>
      </c>
      <c r="Q79" s="1421"/>
      <c r="R79" s="1422"/>
      <c r="S79" s="1423">
        <f>'Scheme Entry - Baseline'!$W$17</f>
        <v>0.13</v>
      </c>
      <c r="T79" s="1424"/>
      <c r="U79" s="1425"/>
      <c r="V79" s="1428">
        <f>P79*S79</f>
        <v>27831.166071428579</v>
      </c>
      <c r="W79" s="1429"/>
      <c r="X79" s="1429"/>
      <c r="Y79" s="3"/>
      <c r="Z79" s="3"/>
      <c r="AC79" s="842"/>
    </row>
    <row r="80" spans="1:29" ht="15" customHeight="1" x14ac:dyDescent="0.3">
      <c r="A80" s="65"/>
      <c r="B80" s="65"/>
      <c r="C80" s="1430"/>
      <c r="D80" s="1430"/>
      <c r="E80" s="1430"/>
      <c r="F80" s="1430"/>
      <c r="G80" s="1430"/>
      <c r="H80" s="1052" t="s">
        <v>124</v>
      </c>
      <c r="I80" s="1431"/>
      <c r="J80" s="1432">
        <f>J78*5%</f>
        <v>205</v>
      </c>
      <c r="K80" s="1433"/>
      <c r="L80" s="1434"/>
      <c r="M80" s="1435">
        <v>0.25</v>
      </c>
      <c r="N80" s="1436"/>
      <c r="O80" s="1437"/>
      <c r="P80" s="1438">
        <f>((('Scheme Entry - Baseline'!$W$46*1000)/('Scheme Entry - Baseline'!$W$9))*Overview!$E$29)*('Scheme Entry - Baseline'!$W$11*J80/1000)*(100%-M80)</f>
        <v>42253.794642857145</v>
      </c>
      <c r="Q80" s="1439"/>
      <c r="R80" s="1440"/>
      <c r="S80" s="1441">
        <f>'Scheme Entry - Baseline'!$W$17</f>
        <v>0.13</v>
      </c>
      <c r="T80" s="1442"/>
      <c r="U80" s="1443"/>
      <c r="V80" s="1444">
        <f>P80*S80</f>
        <v>5492.9933035714294</v>
      </c>
      <c r="W80" s="1445"/>
      <c r="X80" s="1445"/>
      <c r="Y80" s="3"/>
      <c r="Z80" s="3"/>
      <c r="AC80" s="842"/>
    </row>
    <row r="81" spans="1:29" ht="15" customHeight="1" x14ac:dyDescent="0.3">
      <c r="A81" s="65"/>
      <c r="B81" s="65"/>
      <c r="C81" s="198"/>
      <c r="D81" s="198"/>
      <c r="E81" s="198"/>
      <c r="F81" s="198"/>
      <c r="G81" s="198"/>
      <c r="H81" s="196"/>
      <c r="I81" s="196" t="s">
        <v>125</v>
      </c>
      <c r="J81" s="1432">
        <f>J78*76%</f>
        <v>3116</v>
      </c>
      <c r="K81" s="1433"/>
      <c r="L81" s="1434"/>
      <c r="M81" s="1435">
        <v>0.5</v>
      </c>
      <c r="N81" s="1436"/>
      <c r="O81" s="1437"/>
      <c r="P81" s="1438">
        <f>((('Scheme Entry - Baseline'!$W$46*1000)/('Scheme Entry - Baseline'!$W$9))*Overview!$E$29)*('Scheme Entry - Baseline'!$W$11*J81/1000)*(100%-M81)</f>
        <v>428171.78571428574</v>
      </c>
      <c r="Q81" s="1439"/>
      <c r="R81" s="1440"/>
      <c r="S81" s="1441">
        <f>'Scheme Entry - Baseline'!$W$17</f>
        <v>0.13</v>
      </c>
      <c r="T81" s="1442"/>
      <c r="U81" s="1443"/>
      <c r="V81" s="1444">
        <f>P81*S81</f>
        <v>55662.332142857151</v>
      </c>
      <c r="W81" s="1445"/>
      <c r="X81" s="1445"/>
      <c r="Y81" s="3"/>
      <c r="Z81" s="3"/>
      <c r="AC81" s="842"/>
    </row>
    <row r="82" spans="1:29" ht="15" customHeight="1" thickBot="1" x14ac:dyDescent="0.35">
      <c r="A82" s="65"/>
      <c r="B82" s="65"/>
      <c r="C82" s="1387"/>
      <c r="D82" s="1387"/>
      <c r="E82" s="1387"/>
      <c r="F82" s="1387"/>
      <c r="G82" s="1387"/>
      <c r="H82" s="1387"/>
      <c r="I82" s="1387"/>
      <c r="J82" s="1446">
        <f>SUM(J79:L81)</f>
        <v>4100</v>
      </c>
      <c r="K82" s="1390"/>
      <c r="L82" s="1391"/>
      <c r="M82" s="1392"/>
      <c r="N82" s="1393"/>
      <c r="O82" s="1394"/>
      <c r="P82" s="1395">
        <f>SUM(P79:R81)</f>
        <v>684511.4732142858</v>
      </c>
      <c r="Q82" s="1396"/>
      <c r="R82" s="1397"/>
      <c r="S82" s="1392"/>
      <c r="T82" s="1393"/>
      <c r="U82" s="1394"/>
      <c r="V82" s="1385">
        <f>SUM(V79:X81)</f>
        <v>88986.491517857154</v>
      </c>
      <c r="W82" s="1386"/>
      <c r="X82" s="1386"/>
      <c r="Y82" s="3"/>
      <c r="Z82" s="3"/>
    </row>
    <row r="83" spans="1:29" ht="15" customHeight="1" x14ac:dyDescent="0.3">
      <c r="A83" s="3"/>
      <c r="B83" s="930"/>
      <c r="C83" s="931"/>
      <c r="D83" s="931"/>
      <c r="E83" s="931"/>
      <c r="F83" s="931"/>
      <c r="G83" s="931"/>
      <c r="H83" s="931"/>
      <c r="I83" s="931"/>
      <c r="J83" s="931"/>
      <c r="K83" s="931"/>
      <c r="L83" s="931"/>
      <c r="M83" s="931"/>
      <c r="N83" s="931"/>
      <c r="O83" s="931"/>
      <c r="P83" s="931"/>
      <c r="Q83" s="931"/>
      <c r="R83" s="931"/>
      <c r="S83" s="931"/>
      <c r="T83" s="931"/>
      <c r="U83" s="931"/>
      <c r="V83" s="931"/>
      <c r="W83" s="931"/>
      <c r="X83" s="3"/>
      <c r="Y83" s="3"/>
      <c r="Z83" s="3"/>
      <c r="AC83" s="66"/>
    </row>
    <row r="84" spans="1:29" ht="15" customHeight="1" x14ac:dyDescent="0.3">
      <c r="A84" s="65"/>
      <c r="B84" s="118" t="s">
        <v>127</v>
      </c>
      <c r="C84" s="3"/>
      <c r="D84" s="3"/>
      <c r="E84" s="3"/>
      <c r="F84" s="3"/>
      <c r="G84" s="3"/>
      <c r="H84" s="3"/>
      <c r="I84" s="3"/>
      <c r="J84" s="3"/>
      <c r="K84" s="3"/>
      <c r="L84" s="3"/>
      <c r="M84" s="22"/>
      <c r="N84" s="3"/>
      <c r="O84" s="3"/>
      <c r="P84" s="3"/>
      <c r="Q84" s="3"/>
      <c r="R84" s="3"/>
      <c r="S84" s="3"/>
      <c r="T84" s="3"/>
      <c r="U84" s="3"/>
      <c r="V84" s="3"/>
      <c r="W84" s="3"/>
      <c r="X84" s="3"/>
      <c r="Y84" s="3"/>
      <c r="Z84" s="3"/>
    </row>
    <row r="85" spans="1:29" ht="15" customHeight="1" x14ac:dyDescent="0.3">
      <c r="A85" s="65"/>
      <c r="B85" s="31"/>
      <c r="C85" s="1350" t="s">
        <v>37</v>
      </c>
      <c r="D85" s="1350"/>
      <c r="E85" s="1350"/>
      <c r="F85" s="1350"/>
      <c r="G85" s="1350"/>
      <c r="H85" s="1350"/>
      <c r="I85" s="1351"/>
      <c r="J85" s="1202" t="s">
        <v>90</v>
      </c>
      <c r="K85" s="1354"/>
      <c r="L85" s="1355"/>
      <c r="M85" s="1202" t="s">
        <v>91</v>
      </c>
      <c r="N85" s="1354"/>
      <c r="O85" s="1355"/>
      <c r="P85" s="1202" t="s">
        <v>92</v>
      </c>
      <c r="Q85" s="1354"/>
      <c r="R85" s="1355"/>
      <c r="S85" s="1202" t="s">
        <v>93</v>
      </c>
      <c r="T85" s="1354"/>
      <c r="U85" s="1355"/>
      <c r="V85" s="1202" t="s">
        <v>94</v>
      </c>
      <c r="W85" s="1354"/>
      <c r="X85" s="1354"/>
      <c r="Y85" s="3"/>
      <c r="Z85" s="3"/>
    </row>
    <row r="86" spans="1:29" ht="15" customHeight="1" thickBot="1" x14ac:dyDescent="0.35">
      <c r="A86" s="65"/>
      <c r="B86" s="65"/>
      <c r="C86" s="1352"/>
      <c r="D86" s="1352"/>
      <c r="E86" s="1352"/>
      <c r="F86" s="1352"/>
      <c r="G86" s="1352"/>
      <c r="H86" s="1352"/>
      <c r="I86" s="1353"/>
      <c r="J86" s="1356"/>
      <c r="K86" s="1061"/>
      <c r="L86" s="1057"/>
      <c r="M86" s="1356"/>
      <c r="N86" s="1061"/>
      <c r="O86" s="1057"/>
      <c r="P86" s="1356"/>
      <c r="Q86" s="1061"/>
      <c r="R86" s="1057"/>
      <c r="S86" s="1356"/>
      <c r="T86" s="1061"/>
      <c r="U86" s="1057"/>
      <c r="V86" s="1356"/>
      <c r="W86" s="1061"/>
      <c r="X86" s="1061"/>
      <c r="Y86" s="3"/>
      <c r="Z86" s="3"/>
    </row>
    <row r="87" spans="1:29" ht="15" customHeight="1" x14ac:dyDescent="0.3">
      <c r="A87" s="65"/>
      <c r="B87" s="65"/>
      <c r="C87" s="1426" t="s">
        <v>85</v>
      </c>
      <c r="D87" s="1426"/>
      <c r="E87" s="1426"/>
      <c r="F87" s="1426"/>
      <c r="G87" s="1426"/>
      <c r="H87" s="1426"/>
      <c r="I87" s="1427"/>
      <c r="J87" s="1406">
        <f>J10</f>
        <v>4100</v>
      </c>
      <c r="K87" s="1407"/>
      <c r="L87" s="1408"/>
      <c r="M87" s="1400"/>
      <c r="N87" s="1401"/>
      <c r="O87" s="1402"/>
      <c r="P87" s="1403">
        <f>P10</f>
        <v>1126767.8571428573</v>
      </c>
      <c r="Q87" s="1404"/>
      <c r="R87" s="1405"/>
      <c r="S87" s="1406">
        <f>'Scheme Entry - Baseline'!$W$17</f>
        <v>0.13</v>
      </c>
      <c r="T87" s="1407"/>
      <c r="U87" s="1408"/>
      <c r="V87" s="1409">
        <f>P87*S87</f>
        <v>146479.82142857145</v>
      </c>
      <c r="W87" s="1410"/>
      <c r="X87" s="1410"/>
      <c r="Y87" s="3"/>
      <c r="Z87" s="3"/>
    </row>
    <row r="88" spans="1:29" ht="15" customHeight="1" x14ac:dyDescent="0.3">
      <c r="A88" s="65"/>
      <c r="B88" s="65"/>
      <c r="C88" s="1411" t="s">
        <v>86</v>
      </c>
      <c r="D88" s="1411"/>
      <c r="E88" s="1411"/>
      <c r="F88" s="1411"/>
      <c r="G88" s="1411"/>
      <c r="H88" s="1412" t="s">
        <v>87</v>
      </c>
      <c r="I88" s="1413"/>
      <c r="J88" s="1452">
        <f>J79</f>
        <v>779</v>
      </c>
      <c r="K88" s="1453"/>
      <c r="L88" s="1454"/>
      <c r="M88" s="1417"/>
      <c r="N88" s="1418"/>
      <c r="O88" s="1419"/>
      <c r="P88" s="1420">
        <f>((('Scheme Entry - Baseline'!$W$46*1000)/('Scheme Entry - Baseline'!$W$9))*Overview!$E$29)*('Scheme Entry - Baseline'!$W$11/1000)*J88</f>
        <v>214085.8928571429</v>
      </c>
      <c r="Q88" s="1421"/>
      <c r="R88" s="1422"/>
      <c r="S88" s="1423">
        <f>'Scheme Entry - Baseline'!$W$17</f>
        <v>0.13</v>
      </c>
      <c r="T88" s="1424"/>
      <c r="U88" s="1425"/>
      <c r="V88" s="1428">
        <f>P88*S88</f>
        <v>27831.166071428579</v>
      </c>
      <c r="W88" s="1429"/>
      <c r="X88" s="1429"/>
      <c r="Y88" s="3"/>
      <c r="Z88" s="3"/>
    </row>
    <row r="89" spans="1:29" ht="15" customHeight="1" x14ac:dyDescent="0.3">
      <c r="A89" s="65"/>
      <c r="B89" s="65"/>
      <c r="C89" s="1430"/>
      <c r="D89" s="1430"/>
      <c r="E89" s="1430"/>
      <c r="F89" s="1430"/>
      <c r="G89" s="1430"/>
      <c r="H89" s="1052" t="s">
        <v>124</v>
      </c>
      <c r="I89" s="1431"/>
      <c r="J89" s="1449">
        <f t="shared" ref="J89:J90" si="0">J80</f>
        <v>205</v>
      </c>
      <c r="K89" s="1450"/>
      <c r="L89" s="1451"/>
      <c r="M89" s="1435">
        <v>0.33</v>
      </c>
      <c r="N89" s="1436"/>
      <c r="O89" s="1437"/>
      <c r="P89" s="1438">
        <f>((('Scheme Entry - Baseline'!$W$46*1000)/('Scheme Entry - Baseline'!$W$9))*Overview!$E$29)*('Scheme Entry - Baseline'!$W$11*J89/1000)*(100%-M89)</f>
        <v>37746.72321428571</v>
      </c>
      <c r="Q89" s="1439"/>
      <c r="R89" s="1440"/>
      <c r="S89" s="1441">
        <f>'Scheme Entry - Baseline'!$W$17</f>
        <v>0.13</v>
      </c>
      <c r="T89" s="1442"/>
      <c r="U89" s="1443"/>
      <c r="V89" s="1444">
        <f>P89*S89</f>
        <v>4907.0740178571423</v>
      </c>
      <c r="W89" s="1445"/>
      <c r="X89" s="1445"/>
      <c r="Y89" s="3"/>
      <c r="Z89" s="3"/>
    </row>
    <row r="90" spans="1:29" ht="15" customHeight="1" x14ac:dyDescent="0.3">
      <c r="A90" s="65"/>
      <c r="B90" s="65"/>
      <c r="C90" s="198"/>
      <c r="D90" s="198"/>
      <c r="E90" s="198"/>
      <c r="F90" s="198"/>
      <c r="G90" s="198"/>
      <c r="H90" s="196"/>
      <c r="I90" s="196" t="s">
        <v>125</v>
      </c>
      <c r="J90" s="1449">
        <f t="shared" si="0"/>
        <v>3116</v>
      </c>
      <c r="K90" s="1450"/>
      <c r="L90" s="1451"/>
      <c r="M90" s="1435">
        <v>0.5</v>
      </c>
      <c r="N90" s="1436"/>
      <c r="O90" s="1437"/>
      <c r="P90" s="1438">
        <f>((('Scheme Entry - Baseline'!$W$46*1000)/('Scheme Entry - Baseline'!$W$9))*Overview!$E$29)*('Scheme Entry - Baseline'!$W$11*J90/1000)*(100%-M90)</f>
        <v>428171.78571428574</v>
      </c>
      <c r="Q90" s="1439"/>
      <c r="R90" s="1440"/>
      <c r="S90" s="1441">
        <f>'Scheme Entry - Baseline'!$W$17</f>
        <v>0.13</v>
      </c>
      <c r="T90" s="1442"/>
      <c r="U90" s="1443"/>
      <c r="V90" s="1444">
        <f>P90*S90</f>
        <v>55662.332142857151</v>
      </c>
      <c r="W90" s="1445"/>
      <c r="X90" s="1445"/>
      <c r="Y90" s="3"/>
      <c r="Z90" s="3"/>
    </row>
    <row r="91" spans="1:29" ht="15" customHeight="1" thickBot="1" x14ac:dyDescent="0.35">
      <c r="A91" s="65"/>
      <c r="B91" s="65"/>
      <c r="C91" s="1387"/>
      <c r="D91" s="1387"/>
      <c r="E91" s="1387"/>
      <c r="F91" s="1387"/>
      <c r="G91" s="1387"/>
      <c r="H91" s="1387"/>
      <c r="I91" s="1387"/>
      <c r="J91" s="1389">
        <f>SUM(J88:L90)</f>
        <v>4100</v>
      </c>
      <c r="K91" s="1390"/>
      <c r="L91" s="1391"/>
      <c r="M91" s="1392"/>
      <c r="N91" s="1393"/>
      <c r="O91" s="1394"/>
      <c r="P91" s="1395">
        <f>SUM(P88:R90)</f>
        <v>680004.40178571432</v>
      </c>
      <c r="Q91" s="1396"/>
      <c r="R91" s="1397"/>
      <c r="S91" s="1392"/>
      <c r="T91" s="1393"/>
      <c r="U91" s="1394"/>
      <c r="V91" s="1385">
        <f>SUM(V88:X90)</f>
        <v>88400.572232142877</v>
      </c>
      <c r="W91" s="1386"/>
      <c r="X91" s="1386"/>
      <c r="Y91" s="3"/>
      <c r="Z91" s="3"/>
    </row>
    <row r="92" spans="1:29" ht="15" customHeight="1" x14ac:dyDescent="0.3">
      <c r="A92" s="3"/>
      <c r="B92" s="930"/>
      <c r="C92" s="931"/>
      <c r="D92" s="931"/>
      <c r="E92" s="931"/>
      <c r="F92" s="931"/>
      <c r="G92" s="931"/>
      <c r="H92" s="931"/>
      <c r="I92" s="931"/>
      <c r="J92" s="931"/>
      <c r="K92" s="931"/>
      <c r="L92" s="931"/>
      <c r="M92" s="931"/>
      <c r="N92" s="931"/>
      <c r="O92" s="931"/>
      <c r="P92" s="931"/>
      <c r="Q92" s="931"/>
      <c r="R92" s="931"/>
      <c r="S92" s="931"/>
      <c r="T92" s="931"/>
      <c r="U92" s="931"/>
      <c r="V92" s="931"/>
      <c r="W92" s="931"/>
      <c r="X92" s="3"/>
      <c r="Y92" s="3"/>
      <c r="Z92" s="3"/>
    </row>
    <row r="93" spans="1:29" ht="15" customHeight="1" x14ac:dyDescent="0.3">
      <c r="A93" s="3"/>
      <c r="B93" s="677"/>
      <c r="C93" s="677"/>
      <c r="D93" s="677"/>
      <c r="E93" s="677"/>
      <c r="F93" s="677"/>
      <c r="G93" s="677"/>
      <c r="H93" s="677"/>
      <c r="I93" s="677"/>
      <c r="J93" s="677"/>
      <c r="K93" s="677"/>
      <c r="L93" s="677"/>
      <c r="M93" s="677"/>
      <c r="N93" s="677"/>
      <c r="O93" s="677"/>
      <c r="P93" s="677"/>
      <c r="Q93" s="677"/>
      <c r="R93" s="677"/>
      <c r="S93" s="677"/>
      <c r="T93" s="677"/>
      <c r="U93" s="677"/>
      <c r="V93" s="677"/>
      <c r="W93" s="677"/>
      <c r="X93" s="3"/>
      <c r="Y93" s="3"/>
      <c r="Z93" s="3"/>
    </row>
    <row r="94" spans="1:29" ht="15" customHeight="1" x14ac:dyDescent="0.3">
      <c r="A94" s="3"/>
      <c r="B94" s="677"/>
      <c r="C94" s="677"/>
      <c r="D94" s="677"/>
      <c r="E94" s="677"/>
      <c r="F94" s="677"/>
      <c r="G94" s="677"/>
      <c r="H94" s="677"/>
      <c r="I94" s="677"/>
      <c r="J94" s="677"/>
      <c r="K94" s="677"/>
      <c r="L94" s="677"/>
      <c r="M94" s="677"/>
      <c r="N94" s="677"/>
      <c r="O94" s="677"/>
      <c r="P94" s="677"/>
      <c r="Q94" s="677"/>
      <c r="R94" s="677"/>
      <c r="S94" s="677"/>
      <c r="T94" s="677"/>
      <c r="U94" s="677"/>
      <c r="V94" s="677"/>
      <c r="W94" s="677"/>
      <c r="X94" s="3"/>
      <c r="Y94" s="3"/>
      <c r="Z94" s="3"/>
    </row>
    <row r="95" spans="1:29" ht="15" customHeight="1" x14ac:dyDescent="0.3">
      <c r="A95" s="3"/>
      <c r="B95" s="677"/>
      <c r="C95" s="677"/>
      <c r="D95" s="677"/>
      <c r="E95" s="677"/>
      <c r="F95" s="677"/>
      <c r="G95" s="677"/>
      <c r="H95" s="677"/>
      <c r="I95" s="677"/>
      <c r="J95" s="677"/>
      <c r="K95" s="677"/>
      <c r="L95" s="677"/>
      <c r="M95" s="677"/>
      <c r="N95" s="677"/>
      <c r="O95" s="677"/>
      <c r="P95" s="677"/>
      <c r="Q95" s="677"/>
      <c r="R95" s="677"/>
      <c r="S95" s="677"/>
      <c r="T95" s="677"/>
      <c r="U95" s="677"/>
      <c r="V95" s="677"/>
      <c r="W95" s="677"/>
      <c r="X95" s="3"/>
      <c r="Y95" s="3"/>
      <c r="Z95" s="3"/>
    </row>
    <row r="96" spans="1:29" ht="15" customHeight="1" x14ac:dyDescent="0.3">
      <c r="A96" s="15"/>
      <c r="B96" s="107"/>
      <c r="C96" s="107"/>
      <c r="D96" s="107"/>
      <c r="E96" s="107"/>
      <c r="F96" s="107"/>
      <c r="G96" s="107"/>
      <c r="H96" s="107"/>
      <c r="I96" s="107"/>
      <c r="J96" s="107"/>
      <c r="K96" s="107"/>
      <c r="L96" s="107"/>
      <c r="M96" s="107"/>
      <c r="N96" s="107"/>
      <c r="O96" s="107"/>
      <c r="P96" s="107"/>
      <c r="Q96" s="107"/>
      <c r="R96" s="107"/>
      <c r="S96" s="107"/>
      <c r="T96" s="107"/>
      <c r="U96" s="107"/>
      <c r="V96" s="107"/>
      <c r="W96" s="107"/>
      <c r="X96" s="15"/>
      <c r="Y96" s="15"/>
      <c r="Z96" s="15"/>
    </row>
    <row r="97" spans="1:26" ht="15" customHeight="1" x14ac:dyDescent="0.3">
      <c r="A97" s="1"/>
      <c r="B97" s="108"/>
      <c r="C97" s="108"/>
      <c r="D97" s="108"/>
      <c r="E97" s="108"/>
      <c r="F97" s="108"/>
      <c r="G97" s="108"/>
      <c r="H97" s="108"/>
      <c r="I97" s="108"/>
      <c r="J97" s="108"/>
      <c r="K97" s="108"/>
      <c r="L97" s="108"/>
      <c r="M97" s="108"/>
      <c r="N97" s="108"/>
      <c r="O97" s="108"/>
      <c r="P97" s="108"/>
      <c r="Q97" s="108"/>
      <c r="R97" s="108"/>
      <c r="S97" s="108"/>
      <c r="T97" s="108"/>
      <c r="U97" s="108"/>
      <c r="V97" s="108"/>
      <c r="W97" s="108"/>
      <c r="X97" s="1"/>
      <c r="Y97" s="1"/>
      <c r="Z97" s="1"/>
    </row>
    <row r="98" spans="1:26" ht="15" customHeight="1" x14ac:dyDescent="0.3">
      <c r="A98" s="65"/>
      <c r="B98" s="115" t="s">
        <v>128</v>
      </c>
      <c r="C98" s="3"/>
      <c r="D98" s="3"/>
      <c r="E98" s="3"/>
      <c r="F98" s="3"/>
      <c r="G98" s="3"/>
      <c r="H98" s="3"/>
      <c r="I98" s="3"/>
      <c r="J98" s="3"/>
      <c r="K98" s="3"/>
      <c r="L98" s="3"/>
      <c r="M98" s="22"/>
      <c r="N98" s="3"/>
      <c r="O98" s="3"/>
      <c r="P98" s="3"/>
      <c r="Q98" s="3"/>
      <c r="R98" s="3"/>
      <c r="S98" s="3"/>
      <c r="T98" s="3"/>
      <c r="U98" s="3"/>
      <c r="V98" s="3"/>
      <c r="W98" s="3"/>
      <c r="X98" s="3"/>
      <c r="Y98" s="3"/>
      <c r="Z98" s="3"/>
    </row>
    <row r="99" spans="1:26" ht="15" customHeight="1" x14ac:dyDescent="0.3">
      <c r="A99" s="65"/>
      <c r="B99" s="31"/>
      <c r="C99" s="1350" t="s">
        <v>37</v>
      </c>
      <c r="D99" s="1350"/>
      <c r="E99" s="1350"/>
      <c r="F99" s="1350"/>
      <c r="G99" s="1350"/>
      <c r="H99" s="1350"/>
      <c r="I99" s="1351"/>
      <c r="J99" s="1202" t="s">
        <v>90</v>
      </c>
      <c r="K99" s="1354"/>
      <c r="L99" s="1355"/>
      <c r="M99" s="1202" t="s">
        <v>91</v>
      </c>
      <c r="N99" s="1354"/>
      <c r="O99" s="1355"/>
      <c r="P99" s="1202" t="s">
        <v>92</v>
      </c>
      <c r="Q99" s="1354"/>
      <c r="R99" s="1355"/>
      <c r="S99" s="1202" t="s">
        <v>93</v>
      </c>
      <c r="T99" s="1354"/>
      <c r="U99" s="1355"/>
      <c r="V99" s="1202" t="s">
        <v>94</v>
      </c>
      <c r="W99" s="1354"/>
      <c r="X99" s="1354"/>
      <c r="Y99" s="3"/>
      <c r="Z99" s="3"/>
    </row>
    <row r="100" spans="1:26" ht="15" customHeight="1" thickBot="1" x14ac:dyDescent="0.35">
      <c r="A100" s="65"/>
      <c r="B100" s="65"/>
      <c r="C100" s="1352"/>
      <c r="D100" s="1352"/>
      <c r="E100" s="1352"/>
      <c r="F100" s="1352"/>
      <c r="G100" s="1352"/>
      <c r="H100" s="1352"/>
      <c r="I100" s="1353"/>
      <c r="J100" s="1356"/>
      <c r="K100" s="1061"/>
      <c r="L100" s="1057"/>
      <c r="M100" s="1356"/>
      <c r="N100" s="1061"/>
      <c r="O100" s="1057"/>
      <c r="P100" s="1356"/>
      <c r="Q100" s="1061"/>
      <c r="R100" s="1057"/>
      <c r="S100" s="1356"/>
      <c r="T100" s="1061"/>
      <c r="U100" s="1057"/>
      <c r="V100" s="1356"/>
      <c r="W100" s="1061"/>
      <c r="X100" s="1061"/>
      <c r="Y100" s="3"/>
      <c r="Z100" s="3"/>
    </row>
    <row r="101" spans="1:26" ht="15" customHeight="1" x14ac:dyDescent="0.3">
      <c r="A101" s="65"/>
      <c r="B101" s="65"/>
      <c r="C101" s="1426" t="s">
        <v>85</v>
      </c>
      <c r="D101" s="1426"/>
      <c r="E101" s="1426"/>
      <c r="F101" s="1426"/>
      <c r="G101" s="1426"/>
      <c r="H101" s="1426"/>
      <c r="I101" s="1427"/>
      <c r="J101" s="1406">
        <f>J10</f>
        <v>4100</v>
      </c>
      <c r="K101" s="1407"/>
      <c r="L101" s="1408"/>
      <c r="M101" s="1400"/>
      <c r="N101" s="1401"/>
      <c r="O101" s="1402"/>
      <c r="P101" s="1403">
        <f>((('Scheme Entry - Baseline'!$W$46*1000)/('Scheme Entry - Baseline'!$W$9))*2)*('Scheme Entry - Baseline'!$W$11/1000)*J101</f>
        <v>1126767.8571428573</v>
      </c>
      <c r="Q101" s="1404"/>
      <c r="R101" s="1405"/>
      <c r="S101" s="1406">
        <f>'Scheme Entry - Baseline'!$W$17</f>
        <v>0.13</v>
      </c>
      <c r="T101" s="1407"/>
      <c r="U101" s="1408"/>
      <c r="V101" s="1409">
        <f>P101*S101</f>
        <v>146479.82142857145</v>
      </c>
      <c r="W101" s="1410"/>
      <c r="X101" s="1410"/>
      <c r="Y101" s="3"/>
      <c r="Z101" s="3"/>
    </row>
    <row r="102" spans="1:26" ht="15" customHeight="1" x14ac:dyDescent="0.3">
      <c r="A102" s="65"/>
      <c r="B102" s="65"/>
      <c r="C102" s="1411" t="s">
        <v>86</v>
      </c>
      <c r="D102" s="1411"/>
      <c r="E102" s="1411"/>
      <c r="F102" s="1411"/>
      <c r="G102" s="1411"/>
      <c r="H102" s="1412" t="s">
        <v>87</v>
      </c>
      <c r="I102" s="1413"/>
      <c r="J102" s="1452">
        <f>J79</f>
        <v>779</v>
      </c>
      <c r="K102" s="1453"/>
      <c r="L102" s="1454"/>
      <c r="M102" s="1417"/>
      <c r="N102" s="1418"/>
      <c r="O102" s="1419"/>
      <c r="P102" s="1420">
        <f>((('Scheme Entry - Baseline'!$W$46*1000)/('Scheme Entry - Baseline'!$W$9))*Overview!$E$29)*('Scheme Entry - Baseline'!$W$11/1000)*J102</f>
        <v>214085.8928571429</v>
      </c>
      <c r="Q102" s="1421"/>
      <c r="R102" s="1422"/>
      <c r="S102" s="1423">
        <f>'Scheme Entry - Baseline'!$W$17</f>
        <v>0.13</v>
      </c>
      <c r="T102" s="1424"/>
      <c r="U102" s="1425"/>
      <c r="V102" s="1428">
        <f>P102*S102</f>
        <v>27831.166071428579</v>
      </c>
      <c r="W102" s="1429"/>
      <c r="X102" s="1429"/>
      <c r="Y102" s="3"/>
      <c r="Z102" s="3"/>
    </row>
    <row r="103" spans="1:26" ht="15" customHeight="1" x14ac:dyDescent="0.3">
      <c r="A103" s="65"/>
      <c r="B103" s="65"/>
      <c r="C103" s="1430"/>
      <c r="D103" s="1430"/>
      <c r="E103" s="1430"/>
      <c r="F103" s="1430"/>
      <c r="G103" s="1430"/>
      <c r="H103" s="1052" t="s">
        <v>124</v>
      </c>
      <c r="I103" s="1431"/>
      <c r="J103" s="1449">
        <f t="shared" ref="J103:J104" si="1">J80</f>
        <v>205</v>
      </c>
      <c r="K103" s="1450"/>
      <c r="L103" s="1451"/>
      <c r="M103" s="1435">
        <v>0.36</v>
      </c>
      <c r="N103" s="1436"/>
      <c r="O103" s="1437"/>
      <c r="P103" s="1438">
        <f>((('Scheme Entry - Baseline'!$W$46*1000)/('Scheme Entry - Baseline'!$W$9))*Overview!$E$29)*('Scheme Entry - Baseline'!$W$11*J103/1000)*(100%-M103)</f>
        <v>36056.571428571428</v>
      </c>
      <c r="Q103" s="1439"/>
      <c r="R103" s="1440"/>
      <c r="S103" s="1441">
        <f>'Scheme Entry - Baseline'!$W$17</f>
        <v>0.13</v>
      </c>
      <c r="T103" s="1442"/>
      <c r="U103" s="1443"/>
      <c r="V103" s="1444">
        <f>P103*S103</f>
        <v>4687.3542857142857</v>
      </c>
      <c r="W103" s="1445"/>
      <c r="X103" s="1445"/>
      <c r="Y103" s="3"/>
      <c r="Z103" s="3"/>
    </row>
    <row r="104" spans="1:26" ht="15" customHeight="1" x14ac:dyDescent="0.3">
      <c r="A104" s="65"/>
      <c r="B104" s="65"/>
      <c r="C104" s="198"/>
      <c r="D104" s="198"/>
      <c r="E104" s="198"/>
      <c r="F104" s="198"/>
      <c r="G104" s="198"/>
      <c r="H104" s="196"/>
      <c r="I104" s="196" t="s">
        <v>125</v>
      </c>
      <c r="J104" s="1455">
        <f t="shared" si="1"/>
        <v>3116</v>
      </c>
      <c r="K104" s="1456"/>
      <c r="L104" s="1457"/>
      <c r="M104" s="1435">
        <v>0.53</v>
      </c>
      <c r="N104" s="1436"/>
      <c r="O104" s="1437"/>
      <c r="P104" s="1438">
        <f>((('Scheme Entry - Baseline'!$W$46*1000)/('Scheme Entry - Baseline'!$W$9))*Overview!$E$29)*('Scheme Entry - Baseline'!$W$11*J104/1000)*(100%-M104)</f>
        <v>402481.47857142857</v>
      </c>
      <c r="Q104" s="1439"/>
      <c r="R104" s="1440"/>
      <c r="S104" s="1441">
        <f>'Scheme Entry - Baseline'!$W$17</f>
        <v>0.13</v>
      </c>
      <c r="T104" s="1442"/>
      <c r="U104" s="1443"/>
      <c r="V104" s="1444">
        <f>P104*S104</f>
        <v>52322.592214285716</v>
      </c>
      <c r="W104" s="1445"/>
      <c r="X104" s="1445"/>
      <c r="Y104" s="3"/>
      <c r="Z104" s="3"/>
    </row>
    <row r="105" spans="1:26" ht="15" customHeight="1" thickBot="1" x14ac:dyDescent="0.35">
      <c r="A105" s="65"/>
      <c r="B105" s="65"/>
      <c r="C105" s="1387"/>
      <c r="D105" s="1387"/>
      <c r="E105" s="1387"/>
      <c r="F105" s="1387"/>
      <c r="G105" s="1387"/>
      <c r="H105" s="1387"/>
      <c r="I105" s="1387"/>
      <c r="J105" s="1389">
        <f>SUM(J102:L104)</f>
        <v>4100</v>
      </c>
      <c r="K105" s="1390"/>
      <c r="L105" s="1391"/>
      <c r="M105" s="1392"/>
      <c r="N105" s="1393"/>
      <c r="O105" s="1394"/>
      <c r="P105" s="1395">
        <f>SUM(P102:R104)</f>
        <v>652623.94285714289</v>
      </c>
      <c r="Q105" s="1396"/>
      <c r="R105" s="1397"/>
      <c r="S105" s="1392"/>
      <c r="T105" s="1393"/>
      <c r="U105" s="1394"/>
      <c r="V105" s="1385">
        <f>SUM(V102:X104)</f>
        <v>84841.112571428588</v>
      </c>
      <c r="W105" s="1386"/>
      <c r="X105" s="1386"/>
      <c r="Y105" s="3"/>
      <c r="Z105" s="3"/>
    </row>
    <row r="106" spans="1:26" ht="15" customHeight="1" x14ac:dyDescent="0.3">
      <c r="A106" s="3"/>
      <c r="B106" s="930"/>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3"/>
      <c r="Y106" s="3"/>
      <c r="Z106" s="3"/>
    </row>
    <row r="107" spans="1:26" ht="15" customHeight="1" x14ac:dyDescent="0.3">
      <c r="A107" s="65"/>
      <c r="B107" s="119" t="s">
        <v>129</v>
      </c>
      <c r="C107" s="3"/>
      <c r="D107" s="3"/>
      <c r="E107" s="3"/>
      <c r="F107" s="3"/>
      <c r="G107" s="3"/>
      <c r="H107" s="3"/>
      <c r="I107" s="3"/>
      <c r="J107" s="3"/>
      <c r="K107" s="3"/>
      <c r="L107" s="3"/>
      <c r="M107" s="22"/>
      <c r="N107" s="3"/>
      <c r="O107" s="3"/>
      <c r="P107" s="3"/>
      <c r="Q107" s="3"/>
      <c r="R107" s="3"/>
      <c r="S107" s="3"/>
      <c r="T107" s="3"/>
      <c r="U107" s="3"/>
      <c r="V107" s="3"/>
      <c r="W107" s="3"/>
      <c r="X107" s="3"/>
      <c r="Y107" s="3"/>
      <c r="Z107" s="3"/>
    </row>
    <row r="108" spans="1:26" ht="15" customHeight="1" x14ac:dyDescent="0.3">
      <c r="A108" s="65"/>
      <c r="B108" s="31"/>
      <c r="C108" s="1350" t="s">
        <v>37</v>
      </c>
      <c r="D108" s="1350"/>
      <c r="E108" s="1350"/>
      <c r="F108" s="1350"/>
      <c r="G108" s="1350"/>
      <c r="H108" s="1350"/>
      <c r="I108" s="1351"/>
      <c r="J108" s="1202" t="s">
        <v>90</v>
      </c>
      <c r="K108" s="1354"/>
      <c r="L108" s="1355"/>
      <c r="M108" s="1202" t="s">
        <v>91</v>
      </c>
      <c r="N108" s="1354"/>
      <c r="O108" s="1355"/>
      <c r="P108" s="1202" t="s">
        <v>92</v>
      </c>
      <c r="Q108" s="1354"/>
      <c r="R108" s="1355"/>
      <c r="S108" s="1202" t="s">
        <v>93</v>
      </c>
      <c r="T108" s="1354"/>
      <c r="U108" s="1355"/>
      <c r="V108" s="1202" t="s">
        <v>94</v>
      </c>
      <c r="W108" s="1354"/>
      <c r="X108" s="1354"/>
      <c r="Y108" s="3"/>
      <c r="Z108" s="3"/>
    </row>
    <row r="109" spans="1:26" ht="15" customHeight="1" thickBot="1" x14ac:dyDescent="0.35">
      <c r="A109" s="65"/>
      <c r="B109" s="65"/>
      <c r="C109" s="1352"/>
      <c r="D109" s="1352"/>
      <c r="E109" s="1352"/>
      <c r="F109" s="1352"/>
      <c r="G109" s="1352"/>
      <c r="H109" s="1352"/>
      <c r="I109" s="1353"/>
      <c r="J109" s="1356"/>
      <c r="K109" s="1061"/>
      <c r="L109" s="1057"/>
      <c r="M109" s="1356"/>
      <c r="N109" s="1061"/>
      <c r="O109" s="1057"/>
      <c r="P109" s="1356"/>
      <c r="Q109" s="1061"/>
      <c r="R109" s="1057"/>
      <c r="S109" s="1356"/>
      <c r="T109" s="1061"/>
      <c r="U109" s="1057"/>
      <c r="V109" s="1356"/>
      <c r="W109" s="1061"/>
      <c r="X109" s="1061"/>
      <c r="Y109" s="3"/>
      <c r="Z109" s="3"/>
    </row>
    <row r="110" spans="1:26" ht="15" customHeight="1" x14ac:dyDescent="0.3">
      <c r="A110" s="65"/>
      <c r="B110" s="65"/>
      <c r="C110" s="1426" t="s">
        <v>85</v>
      </c>
      <c r="D110" s="1426"/>
      <c r="E110" s="1426"/>
      <c r="F110" s="1426"/>
      <c r="G110" s="1426"/>
      <c r="H110" s="1426"/>
      <c r="I110" s="1427"/>
      <c r="J110" s="1406">
        <f>J10</f>
        <v>4100</v>
      </c>
      <c r="K110" s="1407"/>
      <c r="L110" s="1408"/>
      <c r="M110" s="1400"/>
      <c r="N110" s="1401"/>
      <c r="O110" s="1402"/>
      <c r="P110" s="1403">
        <f>P10</f>
        <v>1126767.8571428573</v>
      </c>
      <c r="Q110" s="1404"/>
      <c r="R110" s="1405"/>
      <c r="S110" s="1406">
        <f>'Scheme Entry - Baseline'!$W$17</f>
        <v>0.13</v>
      </c>
      <c r="T110" s="1407"/>
      <c r="U110" s="1408"/>
      <c r="V110" s="1409">
        <f>P110*S110</f>
        <v>146479.82142857145</v>
      </c>
      <c r="W110" s="1410"/>
      <c r="X110" s="1410"/>
      <c r="Y110" s="3"/>
      <c r="Z110" s="3"/>
    </row>
    <row r="111" spans="1:26" ht="15" customHeight="1" x14ac:dyDescent="0.3">
      <c r="A111" s="65"/>
      <c r="B111" s="65"/>
      <c r="C111" s="1411" t="s">
        <v>86</v>
      </c>
      <c r="D111" s="1411"/>
      <c r="E111" s="1411"/>
      <c r="F111" s="1411"/>
      <c r="G111" s="1411"/>
      <c r="H111" s="1412" t="s">
        <v>87</v>
      </c>
      <c r="I111" s="1413"/>
      <c r="J111" s="1452">
        <f>J79</f>
        <v>779</v>
      </c>
      <c r="K111" s="1453"/>
      <c r="L111" s="1454"/>
      <c r="M111" s="1417"/>
      <c r="N111" s="1418"/>
      <c r="O111" s="1419"/>
      <c r="P111" s="1420">
        <f>((('Scheme Entry - Baseline'!$W$46*1000)/('Scheme Entry - Baseline'!$W$9))*Overview!$E$29)*('Scheme Entry - Baseline'!$W$11/1000)*J111</f>
        <v>214085.8928571429</v>
      </c>
      <c r="Q111" s="1421"/>
      <c r="R111" s="1422"/>
      <c r="S111" s="1423">
        <f>'Scheme Entry - Baseline'!$W$17</f>
        <v>0.13</v>
      </c>
      <c r="T111" s="1424"/>
      <c r="U111" s="1425"/>
      <c r="V111" s="1428">
        <f>P111*S111</f>
        <v>27831.166071428579</v>
      </c>
      <c r="W111" s="1429"/>
      <c r="X111" s="1429"/>
      <c r="Y111" s="3"/>
      <c r="Z111" s="3"/>
    </row>
    <row r="112" spans="1:26" ht="15" customHeight="1" x14ac:dyDescent="0.3">
      <c r="A112" s="65"/>
      <c r="B112" s="65"/>
      <c r="C112" s="1430"/>
      <c r="D112" s="1430"/>
      <c r="E112" s="1430"/>
      <c r="F112" s="1430"/>
      <c r="G112" s="1430"/>
      <c r="H112" s="1052" t="s">
        <v>124</v>
      </c>
      <c r="I112" s="1431"/>
      <c r="J112" s="1449">
        <f t="shared" ref="J112:J113" si="2">J80</f>
        <v>205</v>
      </c>
      <c r="K112" s="1450"/>
      <c r="L112" s="1451"/>
      <c r="M112" s="1435">
        <v>0.34</v>
      </c>
      <c r="N112" s="1436"/>
      <c r="O112" s="1437"/>
      <c r="P112" s="1438">
        <f>((('Scheme Entry - Baseline'!$W$46*1000)/('Scheme Entry - Baseline'!$W$9))*Overview!$E$29)*('Scheme Entry - Baseline'!$W$11*J112/1000)*(100%-M112)</f>
        <v>37183.339285714283</v>
      </c>
      <c r="Q112" s="1439"/>
      <c r="R112" s="1440"/>
      <c r="S112" s="1441">
        <f>'Scheme Entry - Baseline'!$W$17</f>
        <v>0.13</v>
      </c>
      <c r="T112" s="1442"/>
      <c r="U112" s="1443"/>
      <c r="V112" s="1444">
        <f>P112*S112</f>
        <v>4833.8341071428567</v>
      </c>
      <c r="W112" s="1445"/>
      <c r="X112" s="1445"/>
      <c r="Y112" s="3"/>
      <c r="Z112" s="3"/>
    </row>
    <row r="113" spans="1:26" ht="15" customHeight="1" x14ac:dyDescent="0.3">
      <c r="A113" s="65"/>
      <c r="B113" s="65"/>
      <c r="C113" s="198"/>
      <c r="D113" s="198"/>
      <c r="E113" s="198"/>
      <c r="F113" s="198"/>
      <c r="G113" s="198"/>
      <c r="H113" s="196"/>
      <c r="I113" s="196" t="s">
        <v>125</v>
      </c>
      <c r="J113" s="1455">
        <f t="shared" si="2"/>
        <v>3116</v>
      </c>
      <c r="K113" s="1456"/>
      <c r="L113" s="1457"/>
      <c r="M113" s="1435">
        <v>0.64</v>
      </c>
      <c r="N113" s="1436"/>
      <c r="O113" s="1437"/>
      <c r="P113" s="1438">
        <f>((('Scheme Entry - Baseline'!$W$46*1000)/('Scheme Entry - Baseline'!$W$9))*Overview!$E$29)*('Scheme Entry - Baseline'!$W$11*J113/1000)*(100%-M113)</f>
        <v>308283.6857142857</v>
      </c>
      <c r="Q113" s="1439"/>
      <c r="R113" s="1440"/>
      <c r="S113" s="1441">
        <f>'Scheme Entry - Baseline'!$W$17</f>
        <v>0.13</v>
      </c>
      <c r="T113" s="1442"/>
      <c r="U113" s="1443"/>
      <c r="V113" s="1444">
        <f>P113*S113</f>
        <v>40076.879142857142</v>
      </c>
      <c r="W113" s="1445"/>
      <c r="X113" s="1445"/>
      <c r="Y113" s="3"/>
      <c r="Z113" s="3"/>
    </row>
    <row r="114" spans="1:26" ht="15" customHeight="1" thickBot="1" x14ac:dyDescent="0.35">
      <c r="A114" s="65"/>
      <c r="B114" s="65"/>
      <c r="C114" s="1387"/>
      <c r="D114" s="1387"/>
      <c r="E114" s="1387"/>
      <c r="F114" s="1387"/>
      <c r="G114" s="1387"/>
      <c r="H114" s="1387"/>
      <c r="I114" s="1387"/>
      <c r="J114" s="1389">
        <f>SUM(J111:L113)</f>
        <v>4100</v>
      </c>
      <c r="K114" s="1390"/>
      <c r="L114" s="1391"/>
      <c r="M114" s="1392"/>
      <c r="N114" s="1393"/>
      <c r="O114" s="1394"/>
      <c r="P114" s="1395">
        <f>SUM(P111:R113)</f>
        <v>559552.91785714286</v>
      </c>
      <c r="Q114" s="1396"/>
      <c r="R114" s="1397"/>
      <c r="S114" s="1392"/>
      <c r="T114" s="1393"/>
      <c r="U114" s="1394"/>
      <c r="V114" s="1385">
        <f>SUM(V111:X113)</f>
        <v>72741.879321428569</v>
      </c>
      <c r="W114" s="1386"/>
      <c r="X114" s="1386"/>
      <c r="Y114" s="3"/>
      <c r="Z114" s="3"/>
    </row>
    <row r="115" spans="1:26" ht="15" customHeight="1" x14ac:dyDescent="0.3">
      <c r="A115" s="65"/>
      <c r="B115" s="65"/>
      <c r="C115" s="62"/>
      <c r="D115" s="62"/>
      <c r="E115" s="62"/>
      <c r="F115" s="62"/>
      <c r="G115" s="62"/>
      <c r="H115" s="62"/>
      <c r="I115" s="62"/>
      <c r="J115" s="109"/>
      <c r="K115" s="109"/>
      <c r="L115" s="109"/>
      <c r="M115" s="63"/>
      <c r="N115" s="63"/>
      <c r="O115" s="63"/>
      <c r="P115" s="110"/>
      <c r="Q115" s="110"/>
      <c r="R115" s="110"/>
      <c r="S115" s="63"/>
      <c r="T115" s="63"/>
      <c r="U115" s="63"/>
      <c r="V115" s="111"/>
      <c r="W115" s="111"/>
      <c r="X115" s="111"/>
      <c r="Y115" s="3"/>
      <c r="Z115" s="3"/>
    </row>
    <row r="116" spans="1:26" ht="15" customHeight="1" x14ac:dyDescent="0.3">
      <c r="A116" s="65"/>
      <c r="B116" s="30" t="s">
        <v>134</v>
      </c>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 customHeight="1" x14ac:dyDescent="0.3">
      <c r="A117" s="65"/>
      <c r="B117" s="31"/>
      <c r="C117" s="1350" t="s">
        <v>37</v>
      </c>
      <c r="D117" s="1350"/>
      <c r="E117" s="1350"/>
      <c r="F117" s="1350"/>
      <c r="G117" s="1350"/>
      <c r="H117" s="1350"/>
      <c r="I117" s="1351"/>
      <c r="J117" s="1202" t="s">
        <v>90</v>
      </c>
      <c r="K117" s="1354"/>
      <c r="L117" s="1355"/>
      <c r="M117" s="1202" t="s">
        <v>91</v>
      </c>
      <c r="N117" s="1354"/>
      <c r="O117" s="1355"/>
      <c r="P117" s="1202" t="s">
        <v>92</v>
      </c>
      <c r="Q117" s="1354"/>
      <c r="R117" s="1355"/>
      <c r="S117" s="1202" t="s">
        <v>93</v>
      </c>
      <c r="T117" s="1354"/>
      <c r="U117" s="1355"/>
      <c r="V117" s="1202" t="s">
        <v>94</v>
      </c>
      <c r="W117" s="1354"/>
      <c r="X117" s="1354"/>
      <c r="Y117" s="3"/>
      <c r="Z117" s="3"/>
    </row>
    <row r="118" spans="1:26" ht="15" customHeight="1" thickBot="1" x14ac:dyDescent="0.35">
      <c r="A118" s="65"/>
      <c r="B118" s="65"/>
      <c r="C118" s="1352"/>
      <c r="D118" s="1352"/>
      <c r="E118" s="1352"/>
      <c r="F118" s="1352"/>
      <c r="G118" s="1352"/>
      <c r="H118" s="1352"/>
      <c r="I118" s="1353"/>
      <c r="J118" s="1356"/>
      <c r="K118" s="1061"/>
      <c r="L118" s="1057"/>
      <c r="M118" s="1356"/>
      <c r="N118" s="1061"/>
      <c r="O118" s="1057"/>
      <c r="P118" s="1356"/>
      <c r="Q118" s="1061"/>
      <c r="R118" s="1057"/>
      <c r="S118" s="1356"/>
      <c r="T118" s="1061"/>
      <c r="U118" s="1057"/>
      <c r="V118" s="1356"/>
      <c r="W118" s="1061"/>
      <c r="X118" s="1061"/>
      <c r="Y118" s="3"/>
      <c r="Z118" s="3"/>
    </row>
    <row r="119" spans="1:26" ht="15" customHeight="1" x14ac:dyDescent="0.3">
      <c r="A119" s="65"/>
      <c r="B119" s="65"/>
      <c r="C119" s="1426" t="s">
        <v>85</v>
      </c>
      <c r="D119" s="1426"/>
      <c r="E119" s="1426"/>
      <c r="F119" s="1426"/>
      <c r="G119" s="1426"/>
      <c r="H119" s="1426"/>
      <c r="I119" s="1427"/>
      <c r="J119" s="1406">
        <f>J10</f>
        <v>4100</v>
      </c>
      <c r="K119" s="1407"/>
      <c r="L119" s="1408"/>
      <c r="M119" s="1400"/>
      <c r="N119" s="1401"/>
      <c r="O119" s="1402"/>
      <c r="P119" s="1403">
        <f>P10</f>
        <v>1126767.8571428573</v>
      </c>
      <c r="Q119" s="1404"/>
      <c r="R119" s="1405"/>
      <c r="S119" s="1406">
        <f>'Scheme Entry - Baseline'!$W$17</f>
        <v>0.13</v>
      </c>
      <c r="T119" s="1407"/>
      <c r="U119" s="1408"/>
      <c r="V119" s="1409">
        <f>P119*S119</f>
        <v>146479.82142857145</v>
      </c>
      <c r="W119" s="1410"/>
      <c r="X119" s="1410"/>
      <c r="Y119" s="3"/>
      <c r="Z119" s="3"/>
    </row>
    <row r="120" spans="1:26" ht="15" customHeight="1" x14ac:dyDescent="0.3">
      <c r="A120" s="65"/>
      <c r="B120" s="65"/>
      <c r="C120" s="1411" t="s">
        <v>86</v>
      </c>
      <c r="D120" s="1411"/>
      <c r="E120" s="1411"/>
      <c r="F120" s="1411"/>
      <c r="G120" s="1411"/>
      <c r="H120" s="1412" t="s">
        <v>87</v>
      </c>
      <c r="I120" s="1413"/>
      <c r="J120" s="1458"/>
      <c r="K120" s="1459"/>
      <c r="L120" s="1460"/>
      <c r="M120" s="1417"/>
      <c r="N120" s="1418"/>
      <c r="O120" s="1419"/>
      <c r="P120" s="1438"/>
      <c r="Q120" s="1439"/>
      <c r="R120" s="1440"/>
      <c r="S120" s="1423">
        <f>'Scheme Entry - Baseline'!$W$17</f>
        <v>0.13</v>
      </c>
      <c r="T120" s="1424"/>
      <c r="U120" s="1425"/>
      <c r="V120" s="1428">
        <f>P120*S120</f>
        <v>0</v>
      </c>
      <c r="W120" s="1429"/>
      <c r="X120" s="1429"/>
      <c r="Y120" s="3"/>
      <c r="Z120" s="3"/>
    </row>
    <row r="121" spans="1:26" ht="15" customHeight="1" x14ac:dyDescent="0.3">
      <c r="A121" s="65"/>
      <c r="B121" s="65"/>
      <c r="C121" s="1430"/>
      <c r="D121" s="1430"/>
      <c r="E121" s="1430"/>
      <c r="F121" s="1430"/>
      <c r="G121" s="1430"/>
      <c r="H121" s="1052" t="s">
        <v>456</v>
      </c>
      <c r="I121" s="1431"/>
      <c r="J121" s="1461">
        <v>0.5</v>
      </c>
      <c r="K121" s="1462"/>
      <c r="L121" s="1463"/>
      <c r="M121" s="1464"/>
      <c r="N121" s="1465"/>
      <c r="O121" s="1466"/>
      <c r="P121" s="1438"/>
      <c r="Q121" s="1439"/>
      <c r="R121" s="1440"/>
      <c r="S121" s="1441">
        <f>'Scheme Entry - Baseline'!$W$17</f>
        <v>0.13</v>
      </c>
      <c r="T121" s="1442"/>
      <c r="U121" s="1443"/>
      <c r="V121" s="1444">
        <f>P121*S121</f>
        <v>0</v>
      </c>
      <c r="W121" s="1445"/>
      <c r="X121" s="1445"/>
      <c r="Y121" s="3"/>
      <c r="Z121" s="3"/>
    </row>
    <row r="122" spans="1:26" ht="15" customHeight="1" thickBot="1" x14ac:dyDescent="0.35">
      <c r="A122" s="65"/>
      <c r="B122" s="65"/>
      <c r="C122" s="1387" t="s">
        <v>133</v>
      </c>
      <c r="D122" s="1387"/>
      <c r="E122" s="1387"/>
      <c r="F122" s="1387"/>
      <c r="G122" s="1387"/>
      <c r="H122" s="1387"/>
      <c r="I122" s="1387"/>
      <c r="J122" s="1476">
        <f>J119*J121</f>
        <v>2050</v>
      </c>
      <c r="K122" s="1477"/>
      <c r="L122" s="1478"/>
      <c r="M122" s="1392"/>
      <c r="N122" s="1393"/>
      <c r="O122" s="1394"/>
      <c r="P122" s="1479">
        <f>P119/2</f>
        <v>563383.92857142864</v>
      </c>
      <c r="Q122" s="1480"/>
      <c r="R122" s="1481"/>
      <c r="S122" s="1482">
        <f>'Scheme Entry - Baseline'!$W$17</f>
        <v>0.13</v>
      </c>
      <c r="T122" s="1483"/>
      <c r="U122" s="1484"/>
      <c r="V122" s="1385">
        <f>P122*S122</f>
        <v>73239.910714285725</v>
      </c>
      <c r="W122" s="1386"/>
      <c r="X122" s="1386"/>
      <c r="Y122" s="3"/>
      <c r="Z122" s="3"/>
    </row>
    <row r="123" spans="1:26" ht="15" customHeight="1" x14ac:dyDescent="0.3">
      <c r="A123" s="3"/>
      <c r="B123" s="55"/>
      <c r="C123" s="931" t="s">
        <v>89</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3"/>
      <c r="Z123" s="3"/>
    </row>
    <row r="124" spans="1:26" ht="15" customHeight="1" x14ac:dyDescent="0.3">
      <c r="A124" s="3"/>
      <c r="B124" s="55"/>
      <c r="C124" s="677"/>
      <c r="D124" s="677"/>
      <c r="E124" s="677"/>
      <c r="F124" s="677"/>
      <c r="G124" s="677"/>
      <c r="H124" s="677"/>
      <c r="I124" s="677"/>
      <c r="J124" s="677"/>
      <c r="K124" s="677"/>
      <c r="L124" s="677"/>
      <c r="M124" s="677"/>
      <c r="N124" s="677"/>
      <c r="O124" s="677"/>
      <c r="P124" s="677"/>
      <c r="Q124" s="677"/>
      <c r="R124" s="677"/>
      <c r="S124" s="677"/>
      <c r="T124" s="677"/>
      <c r="U124" s="677"/>
      <c r="V124" s="677"/>
      <c r="W124" s="677"/>
      <c r="X124" s="677"/>
      <c r="Y124" s="3"/>
      <c r="Z124" s="3"/>
    </row>
    <row r="125" spans="1:26" ht="15" customHeight="1" x14ac:dyDescent="0.3">
      <c r="A125" s="3"/>
      <c r="B125" s="55"/>
      <c r="C125" s="677"/>
      <c r="D125" s="677"/>
      <c r="E125" s="677"/>
      <c r="F125" s="677"/>
      <c r="G125" s="677"/>
      <c r="H125" s="677"/>
      <c r="I125" s="677"/>
      <c r="J125" s="677"/>
      <c r="K125" s="677"/>
      <c r="L125" s="677"/>
      <c r="M125" s="677"/>
      <c r="N125" s="677"/>
      <c r="O125" s="677"/>
      <c r="P125" s="677"/>
      <c r="Q125" s="677"/>
      <c r="R125" s="677"/>
      <c r="S125" s="677"/>
      <c r="T125" s="677"/>
      <c r="U125" s="677"/>
      <c r="V125" s="677"/>
      <c r="W125" s="677"/>
      <c r="X125" s="677"/>
      <c r="Y125" s="3"/>
      <c r="Z125" s="3"/>
    </row>
    <row r="126" spans="1:26" ht="15" customHeight="1" x14ac:dyDescent="0.3">
      <c r="A126" s="3"/>
      <c r="B126" s="55"/>
      <c r="C126" s="677"/>
      <c r="D126" s="677"/>
      <c r="E126" s="677"/>
      <c r="F126" s="677"/>
      <c r="G126" s="677"/>
      <c r="H126" s="677"/>
      <c r="I126" s="677"/>
      <c r="J126" s="677"/>
      <c r="K126" s="677"/>
      <c r="L126" s="677"/>
      <c r="M126" s="677"/>
      <c r="N126" s="677"/>
      <c r="O126" s="677"/>
      <c r="P126" s="677"/>
      <c r="Q126" s="677"/>
      <c r="R126" s="677"/>
      <c r="S126" s="677"/>
      <c r="T126" s="677"/>
      <c r="U126" s="677"/>
      <c r="V126" s="677"/>
      <c r="W126" s="677"/>
      <c r="X126" s="677"/>
      <c r="Y126" s="3"/>
      <c r="Z126" s="3"/>
    </row>
    <row r="127" spans="1:26" ht="15" customHeight="1" x14ac:dyDescent="0.3">
      <c r="A127" s="3"/>
      <c r="B127" s="55"/>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3"/>
      <c r="Z127" s="3"/>
    </row>
    <row r="128" spans="1:26" ht="15" customHeight="1" x14ac:dyDescent="0.3">
      <c r="A128" s="15"/>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5"/>
      <c r="Y128" s="15"/>
      <c r="Z128" s="15"/>
    </row>
    <row r="129" spans="1:26" ht="15" customHeight="1" x14ac:dyDescent="0.3">
      <c r="A129" s="1"/>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
      <c r="Y129" s="1"/>
      <c r="Z129" s="1"/>
    </row>
    <row r="130" spans="1:26" ht="15" customHeight="1" x14ac:dyDescent="0.3">
      <c r="A130" s="3"/>
      <c r="B130" s="30" t="s">
        <v>132</v>
      </c>
      <c r="C130" s="67"/>
      <c r="D130" s="67"/>
      <c r="E130" s="67"/>
      <c r="F130" s="67"/>
      <c r="G130" s="67"/>
      <c r="H130" s="67"/>
      <c r="I130" s="67"/>
      <c r="J130" s="67"/>
      <c r="K130" s="67"/>
      <c r="L130" s="67"/>
      <c r="M130" s="67"/>
      <c r="N130" s="67"/>
      <c r="O130" s="67"/>
      <c r="P130" s="67"/>
      <c r="Q130" s="67"/>
      <c r="R130" s="67"/>
      <c r="S130" s="67"/>
      <c r="T130" s="67"/>
      <c r="U130" s="67"/>
      <c r="V130" s="67"/>
      <c r="W130" s="67"/>
      <c r="X130" s="3"/>
      <c r="Y130" s="3"/>
      <c r="Z130" s="3"/>
    </row>
    <row r="131" spans="1:26" ht="15" customHeight="1" x14ac:dyDescent="0.3">
      <c r="A131" s="3"/>
      <c r="B131" s="67"/>
      <c r="C131" s="67"/>
      <c r="D131" s="67"/>
      <c r="E131" s="67"/>
      <c r="F131" s="67"/>
      <c r="G131" s="67"/>
      <c r="H131" s="67"/>
      <c r="I131" s="67"/>
      <c r="J131" s="67"/>
      <c r="K131" s="67"/>
      <c r="L131" s="67"/>
      <c r="M131" s="67"/>
      <c r="N131" s="67"/>
      <c r="O131" s="67"/>
      <c r="P131" s="67"/>
      <c r="Q131" s="67"/>
      <c r="R131" s="67"/>
      <c r="S131" s="67"/>
      <c r="T131" s="67"/>
      <c r="U131" s="67"/>
      <c r="V131" s="67"/>
      <c r="W131" s="67"/>
      <c r="X131" s="3"/>
      <c r="Y131" s="3"/>
      <c r="Z131" s="3"/>
    </row>
    <row r="132" spans="1:26" ht="1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 customHeight="1" thickBot="1" x14ac:dyDescent="0.35">
      <c r="A133" s="3"/>
      <c r="B133" s="1245" t="s">
        <v>130</v>
      </c>
      <c r="C133" s="1473"/>
      <c r="D133" s="1227" t="s">
        <v>131</v>
      </c>
      <c r="E133" s="1227"/>
      <c r="F133" s="1227"/>
      <c r="G133" s="3"/>
      <c r="H133" s="3"/>
      <c r="I133" s="3"/>
      <c r="J133" s="3"/>
      <c r="K133" s="3"/>
      <c r="L133" s="3"/>
      <c r="M133" s="3"/>
      <c r="N133" s="3"/>
      <c r="O133" s="3"/>
      <c r="P133" s="3"/>
      <c r="Q133" s="3"/>
      <c r="R133" s="3"/>
      <c r="S133" s="3"/>
      <c r="T133" s="3"/>
      <c r="U133" s="3"/>
      <c r="V133" s="3"/>
      <c r="W133" s="3"/>
      <c r="X133" s="3"/>
      <c r="Y133" s="3"/>
      <c r="Z133" s="3"/>
    </row>
    <row r="134" spans="1:26" ht="15" customHeight="1" x14ac:dyDescent="0.3">
      <c r="A134" s="3"/>
      <c r="B134" s="224" t="s">
        <v>113</v>
      </c>
      <c r="C134" s="122"/>
      <c r="D134" s="1485">
        <f>V13</f>
        <v>146479.82142857145</v>
      </c>
      <c r="E134" s="1486"/>
      <c r="F134" s="1487"/>
      <c r="G134" s="3"/>
      <c r="H134" s="3"/>
      <c r="I134" s="3"/>
      <c r="J134" s="3"/>
      <c r="K134" s="3"/>
      <c r="L134" s="3"/>
      <c r="M134" s="3"/>
      <c r="N134" s="3"/>
      <c r="O134" s="3"/>
      <c r="P134" s="3"/>
      <c r="Q134" s="3"/>
      <c r="R134" s="3"/>
      <c r="S134" s="3"/>
      <c r="T134" s="3"/>
      <c r="U134" s="3"/>
      <c r="V134" s="3"/>
      <c r="W134" s="3"/>
      <c r="X134" s="3"/>
      <c r="Y134" s="3"/>
      <c r="Z134" s="3"/>
    </row>
    <row r="135" spans="1:26" ht="15" customHeight="1" x14ac:dyDescent="0.3">
      <c r="A135" s="3"/>
      <c r="B135" s="225" t="s">
        <v>114</v>
      </c>
      <c r="C135" s="124"/>
      <c r="D135" s="1474">
        <f>V22</f>
        <v>129634.64196428572</v>
      </c>
      <c r="E135" s="1230"/>
      <c r="F135" s="1475"/>
      <c r="G135" s="3"/>
      <c r="H135" s="3"/>
      <c r="I135" s="3"/>
      <c r="J135" s="3"/>
      <c r="K135" s="3"/>
      <c r="L135" s="3"/>
      <c r="M135" s="3"/>
      <c r="N135" s="3"/>
      <c r="O135" s="3"/>
      <c r="P135" s="3"/>
      <c r="Q135" s="3"/>
      <c r="R135" s="3"/>
      <c r="S135" s="3"/>
      <c r="T135" s="3"/>
      <c r="U135" s="3"/>
      <c r="V135" s="3"/>
      <c r="W135" s="3"/>
      <c r="X135" s="3"/>
      <c r="Y135" s="3"/>
      <c r="Z135" s="3"/>
    </row>
    <row r="136" spans="1:26" ht="15" customHeight="1" x14ac:dyDescent="0.3">
      <c r="A136" s="3"/>
      <c r="B136" s="226" t="s">
        <v>117</v>
      </c>
      <c r="C136" s="126"/>
      <c r="D136" s="1469">
        <f>V30</f>
        <v>124244.18453571427</v>
      </c>
      <c r="E136" s="1215"/>
      <c r="F136" s="1470"/>
      <c r="G136" s="3"/>
      <c r="H136" s="3"/>
      <c r="I136" s="3"/>
      <c r="J136" s="3"/>
      <c r="K136" s="3"/>
      <c r="L136" s="3"/>
      <c r="M136" s="3"/>
      <c r="N136" s="3"/>
      <c r="O136" s="3"/>
      <c r="P136" s="3"/>
      <c r="Q136" s="3"/>
      <c r="R136" s="3"/>
      <c r="S136" s="3"/>
      <c r="T136" s="3"/>
      <c r="U136" s="3"/>
      <c r="V136" s="3"/>
      <c r="W136" s="3"/>
      <c r="X136" s="3"/>
      <c r="Y136" s="3"/>
      <c r="Z136" s="3"/>
    </row>
    <row r="137" spans="1:26" ht="15" customHeight="1" x14ac:dyDescent="0.3">
      <c r="A137" s="3"/>
      <c r="B137" s="227" t="s">
        <v>118</v>
      </c>
      <c r="C137" s="128"/>
      <c r="D137" s="1471">
        <f>V40</f>
        <v>112789.46250000001</v>
      </c>
      <c r="E137" s="1218"/>
      <c r="F137" s="1472"/>
      <c r="G137" s="3"/>
      <c r="H137" s="3"/>
      <c r="I137" s="3"/>
      <c r="J137" s="3"/>
      <c r="K137" s="3"/>
      <c r="L137" s="3"/>
      <c r="M137" s="3"/>
      <c r="N137" s="3"/>
      <c r="O137" s="3"/>
      <c r="P137" s="3"/>
      <c r="Q137" s="3"/>
      <c r="R137" s="3"/>
      <c r="S137" s="3"/>
      <c r="T137" s="3"/>
      <c r="U137" s="3"/>
      <c r="V137" s="3"/>
      <c r="W137" s="3"/>
      <c r="X137" s="3"/>
      <c r="Y137" s="3"/>
      <c r="Z137" s="3"/>
    </row>
    <row r="138" spans="1:26" ht="15" customHeight="1" x14ac:dyDescent="0.3">
      <c r="A138" s="3"/>
      <c r="B138" s="186" t="s">
        <v>120</v>
      </c>
      <c r="C138" s="130"/>
      <c r="D138" s="1474">
        <f>V49</f>
        <v>118648.65535714287</v>
      </c>
      <c r="E138" s="1230"/>
      <c r="F138" s="1475"/>
      <c r="G138" s="3"/>
      <c r="H138" s="3"/>
      <c r="I138" s="3"/>
      <c r="J138" s="3"/>
      <c r="K138" s="3"/>
      <c r="L138" s="3"/>
      <c r="M138" s="3"/>
      <c r="N138" s="3"/>
      <c r="O138" s="3"/>
      <c r="P138" s="3"/>
      <c r="Q138" s="3"/>
      <c r="R138" s="3"/>
      <c r="S138" s="3"/>
      <c r="T138" s="3"/>
      <c r="U138" s="3"/>
      <c r="V138" s="3"/>
      <c r="W138" s="3"/>
      <c r="X138" s="3"/>
      <c r="Y138" s="3"/>
      <c r="Z138" s="3"/>
    </row>
    <row r="139" spans="1:26" ht="15" customHeight="1" x14ac:dyDescent="0.3">
      <c r="A139" s="3"/>
      <c r="B139" s="116" t="s">
        <v>121</v>
      </c>
      <c r="C139" s="132"/>
      <c r="D139" s="1469">
        <f>V57</f>
        <v>109742.68221428573</v>
      </c>
      <c r="E139" s="1215"/>
      <c r="F139" s="1470"/>
      <c r="G139" s="3"/>
      <c r="H139" s="3"/>
      <c r="I139" s="3"/>
      <c r="J139" s="3"/>
      <c r="K139" s="3"/>
      <c r="L139" s="3"/>
      <c r="M139" s="3"/>
      <c r="N139" s="3"/>
      <c r="O139" s="3"/>
      <c r="P139" s="3"/>
      <c r="Q139" s="3"/>
      <c r="R139" s="3"/>
      <c r="S139" s="3"/>
      <c r="T139" s="3"/>
      <c r="U139" s="3"/>
      <c r="V139" s="3"/>
      <c r="W139" s="3"/>
      <c r="X139" s="3"/>
      <c r="Y139" s="3"/>
      <c r="Z139" s="3"/>
    </row>
    <row r="140" spans="1:26" ht="15" customHeight="1" x14ac:dyDescent="0.3">
      <c r="A140" s="3"/>
      <c r="B140" s="228" t="s">
        <v>122</v>
      </c>
      <c r="C140" s="134"/>
      <c r="D140" s="1471">
        <f>V72</f>
        <v>90817.489285714299</v>
      </c>
      <c r="E140" s="1218"/>
      <c r="F140" s="1472"/>
      <c r="G140" s="3"/>
      <c r="H140" s="3"/>
      <c r="I140" s="3"/>
      <c r="J140" s="3"/>
      <c r="K140" s="3"/>
      <c r="L140" s="3"/>
      <c r="M140" s="3"/>
      <c r="N140" s="3"/>
      <c r="O140" s="3"/>
      <c r="P140" s="3"/>
      <c r="Q140" s="3"/>
      <c r="R140" s="3"/>
      <c r="S140" s="3"/>
      <c r="T140" s="3"/>
      <c r="U140" s="3"/>
      <c r="V140" s="3"/>
      <c r="W140" s="3"/>
      <c r="X140" s="3"/>
      <c r="Y140" s="3"/>
      <c r="Z140" s="3"/>
    </row>
    <row r="141" spans="1:26" ht="15" customHeight="1" x14ac:dyDescent="0.3">
      <c r="A141" s="3"/>
      <c r="B141" s="229" t="s">
        <v>126</v>
      </c>
      <c r="C141" s="136"/>
      <c r="D141" s="1474">
        <f>V82</f>
        <v>88986.491517857154</v>
      </c>
      <c r="E141" s="1230"/>
      <c r="F141" s="1475"/>
      <c r="G141" s="3"/>
      <c r="H141" s="3"/>
      <c r="I141" s="3"/>
      <c r="J141" s="3"/>
      <c r="K141" s="3"/>
      <c r="L141" s="3"/>
      <c r="M141" s="3"/>
      <c r="N141" s="3"/>
      <c r="O141" s="3"/>
      <c r="P141" s="3"/>
      <c r="Q141" s="3"/>
      <c r="R141" s="3"/>
      <c r="S141" s="3"/>
      <c r="T141" s="3"/>
      <c r="U141" s="3"/>
      <c r="V141" s="3"/>
      <c r="W141" s="3"/>
      <c r="X141" s="3"/>
      <c r="Y141" s="3"/>
      <c r="Z141" s="3"/>
    </row>
    <row r="142" spans="1:26" ht="15" customHeight="1" x14ac:dyDescent="0.3">
      <c r="A142" s="3"/>
      <c r="B142" s="118" t="s">
        <v>127</v>
      </c>
      <c r="C142" s="138"/>
      <c r="D142" s="1469">
        <f>V91</f>
        <v>88400.572232142877</v>
      </c>
      <c r="E142" s="1215"/>
      <c r="F142" s="1470"/>
      <c r="G142" s="3"/>
      <c r="H142" s="3"/>
      <c r="I142" s="3"/>
      <c r="J142" s="3"/>
      <c r="K142" s="3"/>
      <c r="L142" s="3"/>
      <c r="M142" s="3"/>
      <c r="N142" s="3"/>
      <c r="O142" s="3"/>
      <c r="P142" s="3"/>
      <c r="Q142" s="3"/>
      <c r="R142" s="3"/>
      <c r="S142" s="3"/>
      <c r="T142" s="3"/>
      <c r="U142" s="3"/>
      <c r="V142" s="3"/>
      <c r="W142" s="3"/>
      <c r="X142" s="3"/>
      <c r="Y142" s="3"/>
      <c r="Z142" s="3"/>
    </row>
    <row r="143" spans="1:26" ht="15" customHeight="1" x14ac:dyDescent="0.3">
      <c r="A143" s="3"/>
      <c r="B143" s="115" t="s">
        <v>128</v>
      </c>
      <c r="C143" s="140"/>
      <c r="D143" s="1469">
        <f>V105</f>
        <v>84841.112571428588</v>
      </c>
      <c r="E143" s="1215"/>
      <c r="F143" s="1470"/>
      <c r="G143" s="3"/>
      <c r="H143" s="3"/>
      <c r="I143" s="3"/>
      <c r="J143" s="3"/>
      <c r="K143" s="3"/>
      <c r="L143" s="3"/>
      <c r="M143" s="3"/>
      <c r="N143" s="3"/>
      <c r="O143" s="3"/>
      <c r="P143" s="3"/>
      <c r="Q143" s="3"/>
      <c r="R143" s="3"/>
      <c r="S143" s="3"/>
      <c r="T143" s="3"/>
      <c r="U143" s="3"/>
      <c r="V143" s="3"/>
      <c r="W143" s="3"/>
      <c r="X143" s="3"/>
      <c r="Y143" s="3"/>
      <c r="Z143" s="3"/>
    </row>
    <row r="144" spans="1:26" ht="15" customHeight="1" x14ac:dyDescent="0.3">
      <c r="A144" s="3"/>
      <c r="B144" s="230" t="s">
        <v>129</v>
      </c>
      <c r="C144" s="142"/>
      <c r="D144" s="1471">
        <f>V114</f>
        <v>72741.879321428569</v>
      </c>
      <c r="E144" s="1218"/>
      <c r="F144" s="1472"/>
      <c r="G144" s="3"/>
      <c r="H144" s="3"/>
      <c r="I144" s="3"/>
      <c r="J144" s="3"/>
      <c r="K144" s="3"/>
      <c r="L144" s="3"/>
      <c r="M144" s="3"/>
      <c r="N144" s="3"/>
      <c r="O144" s="3"/>
      <c r="P144" s="3"/>
      <c r="Q144" s="3"/>
      <c r="R144" s="3"/>
      <c r="S144" s="3"/>
      <c r="T144" s="3"/>
      <c r="U144" s="3"/>
      <c r="V144" s="3"/>
      <c r="W144" s="3"/>
      <c r="X144" s="3"/>
      <c r="Y144" s="3"/>
      <c r="Z144" s="3"/>
    </row>
    <row r="145" spans="1:26" ht="15" customHeight="1" thickBot="1" x14ac:dyDescent="0.35">
      <c r="A145" s="3"/>
      <c r="B145" s="231" t="s">
        <v>135</v>
      </c>
      <c r="C145" s="144"/>
      <c r="D145" s="1467">
        <f>V122</f>
        <v>73239.910714285725</v>
      </c>
      <c r="E145" s="1221"/>
      <c r="F145" s="1468"/>
      <c r="G145" s="3"/>
      <c r="H145" s="3"/>
      <c r="I145" s="3"/>
      <c r="J145" s="3"/>
      <c r="K145" s="3"/>
      <c r="L145" s="3"/>
      <c r="M145" s="3"/>
      <c r="N145" s="3"/>
      <c r="O145" s="3"/>
      <c r="P145" s="3"/>
      <c r="Q145" s="3"/>
      <c r="R145" s="3"/>
      <c r="S145" s="3"/>
      <c r="T145" s="3"/>
      <c r="U145" s="3"/>
      <c r="V145" s="3"/>
      <c r="W145" s="3"/>
      <c r="X145" s="3"/>
      <c r="Y145" s="3"/>
      <c r="Z145" s="3"/>
    </row>
    <row r="146" spans="1:26" ht="1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 customHeight="1" x14ac:dyDescent="0.3">
      <c r="A152" s="65"/>
      <c r="B152" s="3"/>
      <c r="C152" s="3"/>
      <c r="D152" s="3"/>
      <c r="E152" s="3"/>
      <c r="F152" s="3"/>
      <c r="G152" s="65"/>
      <c r="H152" s="65"/>
      <c r="I152" s="65"/>
      <c r="J152" s="65"/>
      <c r="K152" s="65"/>
      <c r="L152" s="65"/>
      <c r="M152" s="65"/>
      <c r="N152" s="65"/>
      <c r="O152" s="65"/>
      <c r="P152" s="65"/>
      <c r="Q152" s="65"/>
      <c r="R152" s="65"/>
      <c r="S152" s="65"/>
      <c r="T152" s="65"/>
      <c r="U152" s="65"/>
      <c r="V152" s="65"/>
      <c r="W152" s="65"/>
      <c r="X152" s="65"/>
      <c r="Y152" s="65"/>
      <c r="Z152" s="3"/>
    </row>
    <row r="153" spans="1:26" ht="15" customHeight="1" x14ac:dyDescent="0.3">
      <c r="A153" s="79"/>
      <c r="B153" s="3"/>
      <c r="C153" s="3"/>
      <c r="D153" s="3"/>
      <c r="E153" s="3"/>
      <c r="F153" s="3"/>
      <c r="G153" s="79"/>
      <c r="H153" s="79"/>
      <c r="I153" s="79"/>
      <c r="J153" s="79"/>
      <c r="K153" s="79"/>
      <c r="L153" s="79"/>
      <c r="M153" s="79"/>
      <c r="N153" s="79"/>
      <c r="O153" s="79"/>
      <c r="P153" s="79"/>
      <c r="Q153" s="79"/>
      <c r="R153" s="79"/>
      <c r="S153" s="79"/>
      <c r="T153" s="79"/>
      <c r="U153" s="79"/>
      <c r="V153" s="79"/>
      <c r="W153" s="79"/>
      <c r="X153" s="79"/>
      <c r="Y153" s="79"/>
      <c r="Z153" s="3"/>
    </row>
    <row r="154" spans="1:26" ht="15" customHeight="1" x14ac:dyDescent="0.3">
      <c r="A154" s="65"/>
      <c r="B154" s="3"/>
      <c r="C154" s="3"/>
      <c r="D154" s="3"/>
      <c r="E154" s="3"/>
      <c r="F154" s="3"/>
      <c r="G154" s="65"/>
      <c r="H154" s="65"/>
      <c r="I154" s="65"/>
      <c r="J154" s="65"/>
      <c r="K154" s="65"/>
      <c r="L154" s="65"/>
      <c r="M154" s="65"/>
      <c r="N154" s="65"/>
      <c r="O154" s="65"/>
      <c r="P154" s="65"/>
      <c r="Q154" s="65"/>
      <c r="R154" s="65"/>
      <c r="S154" s="65"/>
      <c r="T154" s="65"/>
      <c r="U154" s="65"/>
      <c r="V154" s="65"/>
      <c r="W154" s="65"/>
      <c r="X154" s="65"/>
      <c r="Y154" s="65"/>
      <c r="Z154" s="3"/>
    </row>
    <row r="155" spans="1:26" ht="15" customHeight="1" x14ac:dyDescent="0.3">
      <c r="A155" s="65"/>
      <c r="B155" s="3"/>
      <c r="C155" s="3"/>
      <c r="D155" s="3"/>
      <c r="E155" s="3"/>
      <c r="F155" s="3"/>
      <c r="G155" s="65"/>
      <c r="H155" s="65"/>
      <c r="I155" s="65"/>
      <c r="J155" s="65"/>
      <c r="K155" s="65"/>
      <c r="L155" s="65"/>
      <c r="M155" s="65"/>
      <c r="N155" s="65"/>
      <c r="O155" s="65"/>
      <c r="P155" s="65"/>
      <c r="Q155" s="65"/>
      <c r="R155" s="65"/>
      <c r="S155" s="65"/>
      <c r="T155" s="65"/>
      <c r="U155" s="65"/>
      <c r="V155" s="65"/>
      <c r="W155" s="65"/>
      <c r="X155" s="65"/>
      <c r="Y155" s="65"/>
      <c r="Z155" s="3"/>
    </row>
    <row r="156" spans="1:26" ht="15" customHeight="1" x14ac:dyDescent="0.3">
      <c r="A156" s="65"/>
      <c r="B156" s="3"/>
      <c r="C156" s="3"/>
      <c r="D156" s="3"/>
      <c r="E156" s="3"/>
      <c r="F156" s="3"/>
      <c r="G156" s="65"/>
      <c r="H156" s="65"/>
      <c r="I156" s="65"/>
      <c r="J156" s="65"/>
      <c r="K156" s="65"/>
      <c r="L156" s="65"/>
      <c r="M156" s="65"/>
      <c r="N156" s="65"/>
      <c r="O156" s="65"/>
      <c r="P156" s="65"/>
      <c r="Q156" s="65"/>
      <c r="R156" s="65"/>
      <c r="S156" s="65"/>
      <c r="T156" s="65"/>
      <c r="U156" s="65"/>
      <c r="V156" s="65"/>
      <c r="W156" s="65"/>
      <c r="X156" s="65"/>
      <c r="Y156" s="65"/>
      <c r="Z156" s="3"/>
    </row>
    <row r="157" spans="1:26" ht="15" customHeight="1" x14ac:dyDescent="0.3">
      <c r="A157" s="79"/>
      <c r="B157" s="3"/>
      <c r="C157" s="3"/>
      <c r="D157" s="3"/>
      <c r="E157" s="3"/>
      <c r="F157" s="3"/>
      <c r="G157" s="79"/>
      <c r="H157" s="79"/>
      <c r="I157" s="79"/>
      <c r="J157" s="79"/>
      <c r="K157" s="79"/>
      <c r="L157" s="79"/>
      <c r="M157" s="79"/>
      <c r="N157" s="79"/>
      <c r="O157" s="79"/>
      <c r="P157" s="79"/>
      <c r="Q157" s="79"/>
      <c r="R157" s="79"/>
      <c r="S157" s="79"/>
      <c r="T157" s="79"/>
      <c r="U157" s="79"/>
      <c r="V157" s="79"/>
      <c r="W157" s="79"/>
      <c r="X157" s="79"/>
      <c r="Y157" s="79"/>
      <c r="Z157" s="3"/>
    </row>
    <row r="158" spans="1:26" ht="15" customHeight="1" x14ac:dyDescent="0.3">
      <c r="A158" s="79"/>
      <c r="B158" s="3"/>
      <c r="C158" s="3"/>
      <c r="D158" s="3"/>
      <c r="E158" s="3"/>
      <c r="F158" s="3"/>
      <c r="G158" s="79"/>
      <c r="H158" s="79"/>
      <c r="I158" s="79"/>
      <c r="J158" s="79"/>
      <c r="K158" s="79"/>
      <c r="L158" s="79"/>
      <c r="M158" s="79"/>
      <c r="N158" s="79"/>
      <c r="O158" s="79"/>
      <c r="P158" s="79"/>
      <c r="Q158" s="79"/>
      <c r="R158" s="79"/>
      <c r="S158" s="79"/>
      <c r="T158" s="79"/>
      <c r="U158" s="79"/>
      <c r="V158" s="79"/>
      <c r="W158" s="79"/>
      <c r="X158" s="79"/>
      <c r="Y158" s="79"/>
      <c r="Z158" s="3"/>
    </row>
    <row r="159" spans="1:26" ht="15" customHeight="1" x14ac:dyDescent="0.3">
      <c r="A159" s="65"/>
      <c r="B159" s="3"/>
      <c r="C159" s="3"/>
      <c r="D159" s="3"/>
      <c r="E159" s="3"/>
      <c r="F159" s="3"/>
      <c r="G159" s="65"/>
      <c r="H159" s="65"/>
      <c r="I159" s="65"/>
      <c r="J159" s="65"/>
      <c r="K159" s="65"/>
      <c r="L159" s="65"/>
      <c r="M159" s="65"/>
      <c r="N159" s="65"/>
      <c r="O159" s="65"/>
      <c r="P159" s="65"/>
      <c r="Q159" s="65"/>
      <c r="R159" s="65"/>
      <c r="S159" s="65"/>
      <c r="T159" s="65"/>
      <c r="U159" s="65"/>
      <c r="V159" s="65"/>
      <c r="W159" s="65"/>
      <c r="X159" s="65"/>
      <c r="Y159" s="65"/>
      <c r="Z159" s="3"/>
    </row>
    <row r="160" spans="1:26" ht="15" customHeight="1" x14ac:dyDescent="0.3">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sheetData>
  <mergeCells count="440">
    <mergeCell ref="J122:L122"/>
    <mergeCell ref="M122:O122"/>
    <mergeCell ref="P122:R122"/>
    <mergeCell ref="S122:U122"/>
    <mergeCell ref="V122:X122"/>
    <mergeCell ref="C123:X123"/>
    <mergeCell ref="D134:F134"/>
    <mergeCell ref="D135:F135"/>
    <mergeCell ref="D136:F136"/>
    <mergeCell ref="C122:G122"/>
    <mergeCell ref="H122:I122"/>
    <mergeCell ref="D145:F145"/>
    <mergeCell ref="D143:F143"/>
    <mergeCell ref="D144:F144"/>
    <mergeCell ref="B133:C133"/>
    <mergeCell ref="D138:F138"/>
    <mergeCell ref="D139:F139"/>
    <mergeCell ref="D140:F140"/>
    <mergeCell ref="D141:F141"/>
    <mergeCell ref="D142:F142"/>
    <mergeCell ref="D133:F133"/>
    <mergeCell ref="D137:F137"/>
    <mergeCell ref="C120:G120"/>
    <mergeCell ref="H120:I120"/>
    <mergeCell ref="J120:L120"/>
    <mergeCell ref="M120:O120"/>
    <mergeCell ref="P120:R120"/>
    <mergeCell ref="S120:U120"/>
    <mergeCell ref="V120:X120"/>
    <mergeCell ref="C121:G121"/>
    <mergeCell ref="H121:I121"/>
    <mergeCell ref="J121:L121"/>
    <mergeCell ref="M121:O121"/>
    <mergeCell ref="P121:R121"/>
    <mergeCell ref="S121:U121"/>
    <mergeCell ref="V121:X121"/>
    <mergeCell ref="J113:L113"/>
    <mergeCell ref="M113:O113"/>
    <mergeCell ref="P113:R113"/>
    <mergeCell ref="S113:U113"/>
    <mergeCell ref="V113:X113"/>
    <mergeCell ref="C114:G114"/>
    <mergeCell ref="H114:I114"/>
    <mergeCell ref="J114:L114"/>
    <mergeCell ref="M114:O114"/>
    <mergeCell ref="P114:R114"/>
    <mergeCell ref="S114:U114"/>
    <mergeCell ref="V114:X114"/>
    <mergeCell ref="C117:I118"/>
    <mergeCell ref="J117:L118"/>
    <mergeCell ref="M117:O118"/>
    <mergeCell ref="P117:R118"/>
    <mergeCell ref="S117:U118"/>
    <mergeCell ref="V117:X118"/>
    <mergeCell ref="C119:I119"/>
    <mergeCell ref="J119:L119"/>
    <mergeCell ref="M119:O119"/>
    <mergeCell ref="P119:R119"/>
    <mergeCell ref="S119:U119"/>
    <mergeCell ref="V119:X119"/>
    <mergeCell ref="V111:X111"/>
    <mergeCell ref="C112:G112"/>
    <mergeCell ref="H112:I112"/>
    <mergeCell ref="J112:L112"/>
    <mergeCell ref="M112:O112"/>
    <mergeCell ref="P112:R112"/>
    <mergeCell ref="S112:U112"/>
    <mergeCell ref="V112:X112"/>
    <mergeCell ref="C111:G111"/>
    <mergeCell ref="H111:I111"/>
    <mergeCell ref="J111:L111"/>
    <mergeCell ref="M111:O111"/>
    <mergeCell ref="P111:R111"/>
    <mergeCell ref="S111:U111"/>
    <mergeCell ref="C110:I110"/>
    <mergeCell ref="J110:L110"/>
    <mergeCell ref="M110:O110"/>
    <mergeCell ref="P110:R110"/>
    <mergeCell ref="S110:U110"/>
    <mergeCell ref="V110:X110"/>
    <mergeCell ref="S105:U105"/>
    <mergeCell ref="V105:X105"/>
    <mergeCell ref="B106:W106"/>
    <mergeCell ref="C108:I109"/>
    <mergeCell ref="J108:L109"/>
    <mergeCell ref="M108:O109"/>
    <mergeCell ref="P108:R109"/>
    <mergeCell ref="S108:U109"/>
    <mergeCell ref="V108:X109"/>
    <mergeCell ref="J104:L104"/>
    <mergeCell ref="M104:O104"/>
    <mergeCell ref="P104:R104"/>
    <mergeCell ref="S104:U104"/>
    <mergeCell ref="V104:X104"/>
    <mergeCell ref="C105:G105"/>
    <mergeCell ref="H105:I105"/>
    <mergeCell ref="J105:L105"/>
    <mergeCell ref="M105:O105"/>
    <mergeCell ref="P105:R105"/>
    <mergeCell ref="V102:X102"/>
    <mergeCell ref="C103:G103"/>
    <mergeCell ref="H103:I103"/>
    <mergeCell ref="J103:L103"/>
    <mergeCell ref="M103:O103"/>
    <mergeCell ref="P103:R103"/>
    <mergeCell ref="S103:U103"/>
    <mergeCell ref="V103:X103"/>
    <mergeCell ref="C102:G102"/>
    <mergeCell ref="H102:I102"/>
    <mergeCell ref="J102:L102"/>
    <mergeCell ref="M102:O102"/>
    <mergeCell ref="P102:R102"/>
    <mergeCell ref="S102:U102"/>
    <mergeCell ref="C101:I101"/>
    <mergeCell ref="J101:L101"/>
    <mergeCell ref="M101:O101"/>
    <mergeCell ref="P101:R101"/>
    <mergeCell ref="S101:U101"/>
    <mergeCell ref="V101:X101"/>
    <mergeCell ref="S91:U91"/>
    <mergeCell ref="V91:X91"/>
    <mergeCell ref="B92:W92"/>
    <mergeCell ref="C99:I100"/>
    <mergeCell ref="J99:L100"/>
    <mergeCell ref="M99:O100"/>
    <mergeCell ref="P99:R100"/>
    <mergeCell ref="S99:U100"/>
    <mergeCell ref="V99:X100"/>
    <mergeCell ref="J90:L90"/>
    <mergeCell ref="M90:O90"/>
    <mergeCell ref="P90:R90"/>
    <mergeCell ref="S90:U90"/>
    <mergeCell ref="V90:X90"/>
    <mergeCell ref="C91:G91"/>
    <mergeCell ref="H91:I91"/>
    <mergeCell ref="J91:L91"/>
    <mergeCell ref="M91:O91"/>
    <mergeCell ref="P91:R91"/>
    <mergeCell ref="V88:X88"/>
    <mergeCell ref="C89:G89"/>
    <mergeCell ref="H89:I89"/>
    <mergeCell ref="J89:L89"/>
    <mergeCell ref="M89:O89"/>
    <mergeCell ref="P89:R89"/>
    <mergeCell ref="S89:U89"/>
    <mergeCell ref="V89:X89"/>
    <mergeCell ref="C88:G88"/>
    <mergeCell ref="H88:I88"/>
    <mergeCell ref="J88:L88"/>
    <mergeCell ref="M88:O88"/>
    <mergeCell ref="P88:R88"/>
    <mergeCell ref="S88:U88"/>
    <mergeCell ref="C87:I87"/>
    <mergeCell ref="J87:L87"/>
    <mergeCell ref="M87:O87"/>
    <mergeCell ref="P87:R87"/>
    <mergeCell ref="S87:U87"/>
    <mergeCell ref="V87:X87"/>
    <mergeCell ref="C85:I86"/>
    <mergeCell ref="J85:L86"/>
    <mergeCell ref="M85:O86"/>
    <mergeCell ref="P85:R86"/>
    <mergeCell ref="S85:U86"/>
    <mergeCell ref="V85:X86"/>
    <mergeCell ref="V82:X82"/>
    <mergeCell ref="B83:W83"/>
    <mergeCell ref="J81:L81"/>
    <mergeCell ref="M81:O81"/>
    <mergeCell ref="P81:R81"/>
    <mergeCell ref="S81:U81"/>
    <mergeCell ref="V81:X81"/>
    <mergeCell ref="C82:G82"/>
    <mergeCell ref="H82:I82"/>
    <mergeCell ref="J82:L82"/>
    <mergeCell ref="M82:O82"/>
    <mergeCell ref="P82:R82"/>
    <mergeCell ref="S82:U82"/>
    <mergeCell ref="V79:X79"/>
    <mergeCell ref="C80:G80"/>
    <mergeCell ref="H80:I80"/>
    <mergeCell ref="J80:L80"/>
    <mergeCell ref="M80:O80"/>
    <mergeCell ref="P80:R80"/>
    <mergeCell ref="S80:U80"/>
    <mergeCell ref="V80:X80"/>
    <mergeCell ref="C79:G79"/>
    <mergeCell ref="H79:I79"/>
    <mergeCell ref="J79:L79"/>
    <mergeCell ref="M79:O79"/>
    <mergeCell ref="P79:R79"/>
    <mergeCell ref="S79:U79"/>
    <mergeCell ref="C78:I78"/>
    <mergeCell ref="J78:L78"/>
    <mergeCell ref="M78:O78"/>
    <mergeCell ref="P78:R78"/>
    <mergeCell ref="S78:U78"/>
    <mergeCell ref="V78:X78"/>
    <mergeCell ref="V72:X72"/>
    <mergeCell ref="C76:I77"/>
    <mergeCell ref="J76:L77"/>
    <mergeCell ref="M76:O77"/>
    <mergeCell ref="P76:R77"/>
    <mergeCell ref="S76:U77"/>
    <mergeCell ref="V76:X77"/>
    <mergeCell ref="C72:G72"/>
    <mergeCell ref="H72:I72"/>
    <mergeCell ref="J72:L72"/>
    <mergeCell ref="M72:O72"/>
    <mergeCell ref="P72:R72"/>
    <mergeCell ref="S72:U72"/>
    <mergeCell ref="V70:X70"/>
    <mergeCell ref="C71:G71"/>
    <mergeCell ref="H71:I71"/>
    <mergeCell ref="J71:L71"/>
    <mergeCell ref="M71:O71"/>
    <mergeCell ref="P71:R71"/>
    <mergeCell ref="S71:U71"/>
    <mergeCell ref="V71:X71"/>
    <mergeCell ref="C70:G70"/>
    <mergeCell ref="H70:I70"/>
    <mergeCell ref="J70:L70"/>
    <mergeCell ref="M70:O70"/>
    <mergeCell ref="P70:R70"/>
    <mergeCell ref="S70:U70"/>
    <mergeCell ref="C69:I69"/>
    <mergeCell ref="J69:L69"/>
    <mergeCell ref="M69:O69"/>
    <mergeCell ref="P69:R69"/>
    <mergeCell ref="S69:U69"/>
    <mergeCell ref="V69:X69"/>
    <mergeCell ref="V57:X57"/>
    <mergeCell ref="B58:W58"/>
    <mergeCell ref="C67:I68"/>
    <mergeCell ref="J67:L68"/>
    <mergeCell ref="M67:O68"/>
    <mergeCell ref="P67:R68"/>
    <mergeCell ref="S67:U68"/>
    <mergeCell ref="V67:X68"/>
    <mergeCell ref="C57:G57"/>
    <mergeCell ref="H57:I57"/>
    <mergeCell ref="J57:L57"/>
    <mergeCell ref="M57:O57"/>
    <mergeCell ref="P57:R57"/>
    <mergeCell ref="S57:U57"/>
    <mergeCell ref="V55:X55"/>
    <mergeCell ref="C56:G56"/>
    <mergeCell ref="H56:I56"/>
    <mergeCell ref="J56:L56"/>
    <mergeCell ref="M56:O56"/>
    <mergeCell ref="P56:R56"/>
    <mergeCell ref="S56:U56"/>
    <mergeCell ref="V56:X56"/>
    <mergeCell ref="C55:G55"/>
    <mergeCell ref="H55:I55"/>
    <mergeCell ref="J55:L55"/>
    <mergeCell ref="M55:O55"/>
    <mergeCell ref="P55:R55"/>
    <mergeCell ref="S55:U55"/>
    <mergeCell ref="H48:I48"/>
    <mergeCell ref="J48:L48"/>
    <mergeCell ref="M48:O48"/>
    <mergeCell ref="P48:R48"/>
    <mergeCell ref="S48:U48"/>
    <mergeCell ref="V48:X48"/>
    <mergeCell ref="B50:W50"/>
    <mergeCell ref="C54:I54"/>
    <mergeCell ref="J54:L54"/>
    <mergeCell ref="M54:O54"/>
    <mergeCell ref="P54:R54"/>
    <mergeCell ref="S54:U54"/>
    <mergeCell ref="V54:X54"/>
    <mergeCell ref="P49:R49"/>
    <mergeCell ref="S49:U49"/>
    <mergeCell ref="V49:X49"/>
    <mergeCell ref="C52:I53"/>
    <mergeCell ref="J52:L53"/>
    <mergeCell ref="M52:O53"/>
    <mergeCell ref="P52:R53"/>
    <mergeCell ref="S52:U53"/>
    <mergeCell ref="V52:X53"/>
    <mergeCell ref="C44:I45"/>
    <mergeCell ref="J44:L45"/>
    <mergeCell ref="M44:O45"/>
    <mergeCell ref="P44:R45"/>
    <mergeCell ref="S44:U45"/>
    <mergeCell ref="V44:X45"/>
    <mergeCell ref="C46:I46"/>
    <mergeCell ref="J46:L46"/>
    <mergeCell ref="C49:G49"/>
    <mergeCell ref="H49:I49"/>
    <mergeCell ref="J49:L49"/>
    <mergeCell ref="M49:O49"/>
    <mergeCell ref="C47:G47"/>
    <mergeCell ref="H47:I47"/>
    <mergeCell ref="J47:L47"/>
    <mergeCell ref="M47:O47"/>
    <mergeCell ref="P47:R47"/>
    <mergeCell ref="S47:U47"/>
    <mergeCell ref="M46:O46"/>
    <mergeCell ref="P46:R46"/>
    <mergeCell ref="S46:U46"/>
    <mergeCell ref="V46:X46"/>
    <mergeCell ref="V47:X47"/>
    <mergeCell ref="C48:G48"/>
    <mergeCell ref="V40:X40"/>
    <mergeCell ref="C40:G40"/>
    <mergeCell ref="H40:I40"/>
    <mergeCell ref="J40:L40"/>
    <mergeCell ref="M40:O40"/>
    <mergeCell ref="P40:R40"/>
    <mergeCell ref="S40:U40"/>
    <mergeCell ref="V38:X38"/>
    <mergeCell ref="C39:G39"/>
    <mergeCell ref="H39:I39"/>
    <mergeCell ref="J39:L39"/>
    <mergeCell ref="M39:O39"/>
    <mergeCell ref="P39:R39"/>
    <mergeCell ref="S39:U39"/>
    <mergeCell ref="V39:X39"/>
    <mergeCell ref="C38:G38"/>
    <mergeCell ref="H38:I38"/>
    <mergeCell ref="J38:L38"/>
    <mergeCell ref="M38:O38"/>
    <mergeCell ref="P38:R38"/>
    <mergeCell ref="S38:U38"/>
    <mergeCell ref="C37:I37"/>
    <mergeCell ref="J37:L37"/>
    <mergeCell ref="M37:O37"/>
    <mergeCell ref="P37:R37"/>
    <mergeCell ref="S37:U37"/>
    <mergeCell ref="V37:X37"/>
    <mergeCell ref="C35:I36"/>
    <mergeCell ref="J35:L36"/>
    <mergeCell ref="M35:O36"/>
    <mergeCell ref="P35:R36"/>
    <mergeCell ref="S35:U36"/>
    <mergeCell ref="V35:X36"/>
    <mergeCell ref="V30:X30"/>
    <mergeCell ref="C30:G30"/>
    <mergeCell ref="H30:I30"/>
    <mergeCell ref="J30:L30"/>
    <mergeCell ref="M30:O30"/>
    <mergeCell ref="P30:R30"/>
    <mergeCell ref="S30:U30"/>
    <mergeCell ref="V28:X28"/>
    <mergeCell ref="C29:G29"/>
    <mergeCell ref="H29:I29"/>
    <mergeCell ref="J29:L29"/>
    <mergeCell ref="M29:O29"/>
    <mergeCell ref="P29:R29"/>
    <mergeCell ref="S29:U29"/>
    <mergeCell ref="V29:X29"/>
    <mergeCell ref="C28:G28"/>
    <mergeCell ref="H28:I28"/>
    <mergeCell ref="J28:L28"/>
    <mergeCell ref="M28:O28"/>
    <mergeCell ref="P28:R28"/>
    <mergeCell ref="S28:U28"/>
    <mergeCell ref="C27:I27"/>
    <mergeCell ref="J27:L27"/>
    <mergeCell ref="M27:O27"/>
    <mergeCell ref="P27:R27"/>
    <mergeCell ref="S27:U27"/>
    <mergeCell ref="V27:X27"/>
    <mergeCell ref="C23:X23"/>
    <mergeCell ref="C25:I26"/>
    <mergeCell ref="J25:L26"/>
    <mergeCell ref="M25:O26"/>
    <mergeCell ref="P25:R26"/>
    <mergeCell ref="S25:U26"/>
    <mergeCell ref="V25:X26"/>
    <mergeCell ref="V22:X22"/>
    <mergeCell ref="C22:G22"/>
    <mergeCell ref="H22:I22"/>
    <mergeCell ref="J22:L22"/>
    <mergeCell ref="M22:O22"/>
    <mergeCell ref="P22:R22"/>
    <mergeCell ref="S22:U22"/>
    <mergeCell ref="V20:X20"/>
    <mergeCell ref="C21:G21"/>
    <mergeCell ref="H21:I21"/>
    <mergeCell ref="J21:L21"/>
    <mergeCell ref="M21:O21"/>
    <mergeCell ref="P21:R21"/>
    <mergeCell ref="S21:U21"/>
    <mergeCell ref="V21:X21"/>
    <mergeCell ref="M19:O19"/>
    <mergeCell ref="P19:R19"/>
    <mergeCell ref="S19:U19"/>
    <mergeCell ref="V19:X19"/>
    <mergeCell ref="C20:G20"/>
    <mergeCell ref="H20:I20"/>
    <mergeCell ref="J20:L20"/>
    <mergeCell ref="M20:O20"/>
    <mergeCell ref="P20:R20"/>
    <mergeCell ref="S20:U20"/>
    <mergeCell ref="C19:I19"/>
    <mergeCell ref="J19:L19"/>
    <mergeCell ref="C17:I18"/>
    <mergeCell ref="J17:L18"/>
    <mergeCell ref="M17:O18"/>
    <mergeCell ref="P17:R18"/>
    <mergeCell ref="S17:U18"/>
    <mergeCell ref="V17:X18"/>
    <mergeCell ref="V13:X13"/>
    <mergeCell ref="C13:G13"/>
    <mergeCell ref="H13:I13"/>
    <mergeCell ref="J13:L13"/>
    <mergeCell ref="M13:O13"/>
    <mergeCell ref="P13:R13"/>
    <mergeCell ref="S13:U13"/>
    <mergeCell ref="P15:R15"/>
    <mergeCell ref="P16:R16"/>
    <mergeCell ref="S15:U15"/>
    <mergeCell ref="V11:X11"/>
    <mergeCell ref="C12:G12"/>
    <mergeCell ref="H12:I12"/>
    <mergeCell ref="J12:L12"/>
    <mergeCell ref="M12:O12"/>
    <mergeCell ref="P12:R12"/>
    <mergeCell ref="S12:U12"/>
    <mergeCell ref="V12:X12"/>
    <mergeCell ref="C11:G11"/>
    <mergeCell ref="H11:I11"/>
    <mergeCell ref="J11:L11"/>
    <mergeCell ref="M11:O11"/>
    <mergeCell ref="P11:R11"/>
    <mergeCell ref="S11:U11"/>
    <mergeCell ref="C10:I10"/>
    <mergeCell ref="J10:L10"/>
    <mergeCell ref="M10:O10"/>
    <mergeCell ref="P10:R10"/>
    <mergeCell ref="S10:U10"/>
    <mergeCell ref="V10:X10"/>
    <mergeCell ref="C8:I9"/>
    <mergeCell ref="J8:L9"/>
    <mergeCell ref="M8:O9"/>
    <mergeCell ref="P8:R9"/>
    <mergeCell ref="S8:U9"/>
    <mergeCell ref="V8:X9"/>
  </mergeCells>
  <dataValidations disablePrompts="1" count="4">
    <dataValidation allowBlank="1" showInputMessage="1" showErrorMessage="1" prompt="6° 17' 40.1424''" sqref="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53° 20' 52.4436''" sqref="JP65519 TL65519 ADH65519 AND65519 AWZ65519 BGV65519 BQR65519 CAN65519 CKJ65519 CUF65519 DEB65519 DNX65519 DXT65519 EHP65519 ERL65519 FBH65519 FLD65519 FUZ65519 GEV65519 GOR65519 GYN65519 HIJ65519 HSF65519 ICB65519 ILX65519 IVT65519 JFP65519 JPL65519 JZH65519 KJD65519 KSZ65519 LCV65519 LMR65519 LWN65519 MGJ65519 MQF65519 NAB65519 NJX65519 NTT65519 ODP65519 ONL65519 OXH65519 PHD65519 PQZ65519 QAV65519 QKR65519 QUN65519 REJ65519 ROF65519 RYB65519 SHX65519 SRT65519 TBP65519 TLL65519 TVH65519 UFD65519 UOZ65519 UYV65519 VIR65519 VSN65519 WCJ65519 WMF65519 WWB65519 JP131055 TL131055 ADH131055 AND131055 AWZ131055 BGV131055 BQR131055 CAN131055 CKJ131055 CUF131055 DEB131055 DNX131055 DXT131055 EHP131055 ERL131055 FBH131055 FLD131055 FUZ131055 GEV131055 GOR131055 GYN131055 HIJ131055 HSF131055 ICB131055 ILX131055 IVT131055 JFP131055 JPL131055 JZH131055 KJD131055 KSZ131055 LCV131055 LMR131055 LWN131055 MGJ131055 MQF131055 NAB131055 NJX131055 NTT131055 ODP131055 ONL131055 OXH131055 PHD131055 PQZ131055 QAV131055 QKR131055 QUN131055 REJ131055 ROF131055 RYB131055 SHX131055 SRT131055 TBP131055 TLL131055 TVH131055 UFD131055 UOZ131055 UYV131055 VIR131055 VSN131055 WCJ131055 WMF131055 WWB131055 JP196591 TL196591 ADH196591 AND196591 AWZ196591 BGV196591 BQR196591 CAN196591 CKJ196591 CUF196591 DEB196591 DNX196591 DXT196591 EHP196591 ERL196591 FBH196591 FLD196591 FUZ196591 GEV196591 GOR196591 GYN196591 HIJ196591 HSF196591 ICB196591 ILX196591 IVT196591 JFP196591 JPL196591 JZH196591 KJD196591 KSZ196591 LCV196591 LMR196591 LWN196591 MGJ196591 MQF196591 NAB196591 NJX196591 NTT196591 ODP196591 ONL196591 OXH196591 PHD196591 PQZ196591 QAV196591 QKR196591 QUN196591 REJ196591 ROF196591 RYB196591 SHX196591 SRT196591 TBP196591 TLL196591 TVH196591 UFD196591 UOZ196591 UYV196591 VIR196591 VSN196591 WCJ196591 WMF196591 WWB196591 JP262127 TL262127 ADH262127 AND262127 AWZ262127 BGV262127 BQR262127 CAN262127 CKJ262127 CUF262127 DEB262127 DNX262127 DXT262127 EHP262127 ERL262127 FBH262127 FLD262127 FUZ262127 GEV262127 GOR262127 GYN262127 HIJ262127 HSF262127 ICB262127 ILX262127 IVT262127 JFP262127 JPL262127 JZH262127 KJD262127 KSZ262127 LCV262127 LMR262127 LWN262127 MGJ262127 MQF262127 NAB262127 NJX262127 NTT262127 ODP262127 ONL262127 OXH262127 PHD262127 PQZ262127 QAV262127 QKR262127 QUN262127 REJ262127 ROF262127 RYB262127 SHX262127 SRT262127 TBP262127 TLL262127 TVH262127 UFD262127 UOZ262127 UYV262127 VIR262127 VSN262127 WCJ262127 WMF262127 WWB262127 JP327663 TL327663 ADH327663 AND327663 AWZ327663 BGV327663 BQR327663 CAN327663 CKJ327663 CUF327663 DEB327663 DNX327663 DXT327663 EHP327663 ERL327663 FBH327663 FLD327663 FUZ327663 GEV327663 GOR327663 GYN327663 HIJ327663 HSF327663 ICB327663 ILX327663 IVT327663 JFP327663 JPL327663 JZH327663 KJD327663 KSZ327663 LCV327663 LMR327663 LWN327663 MGJ327663 MQF327663 NAB327663 NJX327663 NTT327663 ODP327663 ONL327663 OXH327663 PHD327663 PQZ327663 QAV327663 QKR327663 QUN327663 REJ327663 ROF327663 RYB327663 SHX327663 SRT327663 TBP327663 TLL327663 TVH327663 UFD327663 UOZ327663 UYV327663 VIR327663 VSN327663 WCJ327663 WMF327663 WWB327663 JP393199 TL393199 ADH393199 AND393199 AWZ393199 BGV393199 BQR393199 CAN393199 CKJ393199 CUF393199 DEB393199 DNX393199 DXT393199 EHP393199 ERL393199 FBH393199 FLD393199 FUZ393199 GEV393199 GOR393199 GYN393199 HIJ393199 HSF393199 ICB393199 ILX393199 IVT393199 JFP393199 JPL393199 JZH393199 KJD393199 KSZ393199 LCV393199 LMR393199 LWN393199 MGJ393199 MQF393199 NAB393199 NJX393199 NTT393199 ODP393199 ONL393199 OXH393199 PHD393199 PQZ393199 QAV393199 QKR393199 QUN393199 REJ393199 ROF393199 RYB393199 SHX393199 SRT393199 TBP393199 TLL393199 TVH393199 UFD393199 UOZ393199 UYV393199 VIR393199 VSN393199 WCJ393199 WMF393199 WWB393199 JP458735 TL458735 ADH458735 AND458735 AWZ458735 BGV458735 BQR458735 CAN458735 CKJ458735 CUF458735 DEB458735 DNX458735 DXT458735 EHP458735 ERL458735 FBH458735 FLD458735 FUZ458735 GEV458735 GOR458735 GYN458735 HIJ458735 HSF458735 ICB458735 ILX458735 IVT458735 JFP458735 JPL458735 JZH458735 KJD458735 KSZ458735 LCV458735 LMR458735 LWN458735 MGJ458735 MQF458735 NAB458735 NJX458735 NTT458735 ODP458735 ONL458735 OXH458735 PHD458735 PQZ458735 QAV458735 QKR458735 QUN458735 REJ458735 ROF458735 RYB458735 SHX458735 SRT458735 TBP458735 TLL458735 TVH458735 UFD458735 UOZ458735 UYV458735 VIR458735 VSN458735 WCJ458735 WMF458735 WWB458735 JP524271 TL524271 ADH524271 AND524271 AWZ524271 BGV524271 BQR524271 CAN524271 CKJ524271 CUF524271 DEB524271 DNX524271 DXT524271 EHP524271 ERL524271 FBH524271 FLD524271 FUZ524271 GEV524271 GOR524271 GYN524271 HIJ524271 HSF524271 ICB524271 ILX524271 IVT524271 JFP524271 JPL524271 JZH524271 KJD524271 KSZ524271 LCV524271 LMR524271 LWN524271 MGJ524271 MQF524271 NAB524271 NJX524271 NTT524271 ODP524271 ONL524271 OXH524271 PHD524271 PQZ524271 QAV524271 QKR524271 QUN524271 REJ524271 ROF524271 RYB524271 SHX524271 SRT524271 TBP524271 TLL524271 TVH524271 UFD524271 UOZ524271 UYV524271 VIR524271 VSN524271 WCJ524271 WMF524271 WWB524271 JP589807 TL589807 ADH589807 AND589807 AWZ589807 BGV589807 BQR589807 CAN589807 CKJ589807 CUF589807 DEB589807 DNX589807 DXT589807 EHP589807 ERL589807 FBH589807 FLD589807 FUZ589807 GEV589807 GOR589807 GYN589807 HIJ589807 HSF589807 ICB589807 ILX589807 IVT589807 JFP589807 JPL589807 JZH589807 KJD589807 KSZ589807 LCV589807 LMR589807 LWN589807 MGJ589807 MQF589807 NAB589807 NJX589807 NTT589807 ODP589807 ONL589807 OXH589807 PHD589807 PQZ589807 QAV589807 QKR589807 QUN589807 REJ589807 ROF589807 RYB589807 SHX589807 SRT589807 TBP589807 TLL589807 TVH589807 UFD589807 UOZ589807 UYV589807 VIR589807 VSN589807 WCJ589807 WMF589807 WWB589807 JP655343 TL655343 ADH655343 AND655343 AWZ655343 BGV655343 BQR655343 CAN655343 CKJ655343 CUF655343 DEB655343 DNX655343 DXT655343 EHP655343 ERL655343 FBH655343 FLD655343 FUZ655343 GEV655343 GOR655343 GYN655343 HIJ655343 HSF655343 ICB655343 ILX655343 IVT655343 JFP655343 JPL655343 JZH655343 KJD655343 KSZ655343 LCV655343 LMR655343 LWN655343 MGJ655343 MQF655343 NAB655343 NJX655343 NTT655343 ODP655343 ONL655343 OXH655343 PHD655343 PQZ655343 QAV655343 QKR655343 QUN655343 REJ655343 ROF655343 RYB655343 SHX655343 SRT655343 TBP655343 TLL655343 TVH655343 UFD655343 UOZ655343 UYV655343 VIR655343 VSN655343 WCJ655343 WMF655343 WWB655343 JP720879 TL720879 ADH720879 AND720879 AWZ720879 BGV720879 BQR720879 CAN720879 CKJ720879 CUF720879 DEB720879 DNX720879 DXT720879 EHP720879 ERL720879 FBH720879 FLD720879 FUZ720879 GEV720879 GOR720879 GYN720879 HIJ720879 HSF720879 ICB720879 ILX720879 IVT720879 JFP720879 JPL720879 JZH720879 KJD720879 KSZ720879 LCV720879 LMR720879 LWN720879 MGJ720879 MQF720879 NAB720879 NJX720879 NTT720879 ODP720879 ONL720879 OXH720879 PHD720879 PQZ720879 QAV720879 QKR720879 QUN720879 REJ720879 ROF720879 RYB720879 SHX720879 SRT720879 TBP720879 TLL720879 TVH720879 UFD720879 UOZ720879 UYV720879 VIR720879 VSN720879 WCJ720879 WMF720879 WWB720879 JP786415 TL786415 ADH786415 AND786415 AWZ786415 BGV786415 BQR786415 CAN786415 CKJ786415 CUF786415 DEB786415 DNX786415 DXT786415 EHP786415 ERL786415 FBH786415 FLD786415 FUZ786415 GEV786415 GOR786415 GYN786415 HIJ786415 HSF786415 ICB786415 ILX786415 IVT786415 JFP786415 JPL786415 JZH786415 KJD786415 KSZ786415 LCV786415 LMR786415 LWN786415 MGJ786415 MQF786415 NAB786415 NJX786415 NTT786415 ODP786415 ONL786415 OXH786415 PHD786415 PQZ786415 QAV786415 QKR786415 QUN786415 REJ786415 ROF786415 RYB786415 SHX786415 SRT786415 TBP786415 TLL786415 TVH786415 UFD786415 UOZ786415 UYV786415 VIR786415 VSN786415 WCJ786415 WMF786415 WWB786415 JP851951 TL851951 ADH851951 AND851951 AWZ851951 BGV851951 BQR851951 CAN851951 CKJ851951 CUF851951 DEB851951 DNX851951 DXT851951 EHP851951 ERL851951 FBH851951 FLD851951 FUZ851951 GEV851951 GOR851951 GYN851951 HIJ851951 HSF851951 ICB851951 ILX851951 IVT851951 JFP851951 JPL851951 JZH851951 KJD851951 KSZ851951 LCV851951 LMR851951 LWN851951 MGJ851951 MQF851951 NAB851951 NJX851951 NTT851951 ODP851951 ONL851951 OXH851951 PHD851951 PQZ851951 QAV851951 QKR851951 QUN851951 REJ851951 ROF851951 RYB851951 SHX851951 SRT851951 TBP851951 TLL851951 TVH851951 UFD851951 UOZ851951 UYV851951 VIR851951 VSN851951 WCJ851951 WMF851951 WWB851951 JP917487 TL917487 ADH917487 AND917487 AWZ917487 BGV917487 BQR917487 CAN917487 CKJ917487 CUF917487 DEB917487 DNX917487 DXT917487 EHP917487 ERL917487 FBH917487 FLD917487 FUZ917487 GEV917487 GOR917487 GYN917487 HIJ917487 HSF917487 ICB917487 ILX917487 IVT917487 JFP917487 JPL917487 JZH917487 KJD917487 KSZ917487 LCV917487 LMR917487 LWN917487 MGJ917487 MQF917487 NAB917487 NJX917487 NTT917487 ODP917487 ONL917487 OXH917487 PHD917487 PQZ917487 QAV917487 QKR917487 QUN917487 REJ917487 ROF917487 RYB917487 SHX917487 SRT917487 TBP917487 TLL917487 TVH917487 UFD917487 UOZ917487 UYV917487 VIR917487 VSN917487 WCJ917487 WMF917487 WWB917487 JP983023 TL983023 ADH983023 AND983023 AWZ983023 BGV983023 BQR983023 CAN983023 CKJ983023 CUF983023 DEB983023 DNX983023 DXT983023 EHP983023 ERL983023 FBH983023 FLD983023 FUZ983023 GEV983023 GOR983023 GYN983023 HIJ983023 HSF983023 ICB983023 ILX983023 IVT983023 JFP983023 JPL983023 JZH983023 KJD983023 KSZ983023 LCV983023 LMR983023 LWN983023 MGJ983023 MQF983023 NAB983023 NJX983023 NTT983023 ODP983023 ONL983023 OXH983023 PHD983023 PQZ983023 QAV983023 QKR983023 QUN983023 REJ983023 ROF983023 RYB983023 SHX983023 SRT983023 TBP983023 TLL983023 TVH983023 UFD983023 UOZ983023 UYV983023 VIR983023 VSN983023 WCJ983023 WMF983023 WWB983023"/>
    <dataValidation allowBlank="1" showInputMessage="1" showErrorMessage="1" prompt="-6.294484" sqref="JR65515 TN65515 ADJ65515 ANF65515 AXB65515 BGX65515 BQT65515 CAP65515 CKL65515 CUH65515 DED65515 DNZ65515 DXV65515 EHR65515 ERN65515 FBJ65515 FLF65515 FVB65515 GEX65515 GOT65515 GYP65515 HIL65515 HSH65515 ICD65515 ILZ65515 IVV65515 JFR65515 JPN65515 JZJ65515 KJF65515 KTB65515 LCX65515 LMT65515 LWP65515 MGL65515 MQH65515 NAD65515 NJZ65515 NTV65515 ODR65515 ONN65515 OXJ65515 PHF65515 PRB65515 QAX65515 QKT65515 QUP65515 REL65515 ROH65515 RYD65515 SHZ65515 SRV65515 TBR65515 TLN65515 TVJ65515 UFF65515 UPB65515 UYX65515 VIT65515 VSP65515 WCL65515 WMH65515 WWD65515 JR131051 TN131051 ADJ131051 ANF131051 AXB131051 BGX131051 BQT131051 CAP131051 CKL131051 CUH131051 DED131051 DNZ131051 DXV131051 EHR131051 ERN131051 FBJ131051 FLF131051 FVB131051 GEX131051 GOT131051 GYP131051 HIL131051 HSH131051 ICD131051 ILZ131051 IVV131051 JFR131051 JPN131051 JZJ131051 KJF131051 KTB131051 LCX131051 LMT131051 LWP131051 MGL131051 MQH131051 NAD131051 NJZ131051 NTV131051 ODR131051 ONN131051 OXJ131051 PHF131051 PRB131051 QAX131051 QKT131051 QUP131051 REL131051 ROH131051 RYD131051 SHZ131051 SRV131051 TBR131051 TLN131051 TVJ131051 UFF131051 UPB131051 UYX131051 VIT131051 VSP131051 WCL131051 WMH131051 WWD131051 JR196587 TN196587 ADJ196587 ANF196587 AXB196587 BGX196587 BQT196587 CAP196587 CKL196587 CUH196587 DED196587 DNZ196587 DXV196587 EHR196587 ERN196587 FBJ196587 FLF196587 FVB196587 GEX196587 GOT196587 GYP196587 HIL196587 HSH196587 ICD196587 ILZ196587 IVV196587 JFR196587 JPN196587 JZJ196587 KJF196587 KTB196587 LCX196587 LMT196587 LWP196587 MGL196587 MQH196587 NAD196587 NJZ196587 NTV196587 ODR196587 ONN196587 OXJ196587 PHF196587 PRB196587 QAX196587 QKT196587 QUP196587 REL196587 ROH196587 RYD196587 SHZ196587 SRV196587 TBR196587 TLN196587 TVJ196587 UFF196587 UPB196587 UYX196587 VIT196587 VSP196587 WCL196587 WMH196587 WWD196587 JR262123 TN262123 ADJ262123 ANF262123 AXB262123 BGX262123 BQT262123 CAP262123 CKL262123 CUH262123 DED262123 DNZ262123 DXV262123 EHR262123 ERN262123 FBJ262123 FLF262123 FVB262123 GEX262123 GOT262123 GYP262123 HIL262123 HSH262123 ICD262123 ILZ262123 IVV262123 JFR262123 JPN262123 JZJ262123 KJF262123 KTB262123 LCX262123 LMT262123 LWP262123 MGL262123 MQH262123 NAD262123 NJZ262123 NTV262123 ODR262123 ONN262123 OXJ262123 PHF262123 PRB262123 QAX262123 QKT262123 QUP262123 REL262123 ROH262123 RYD262123 SHZ262123 SRV262123 TBR262123 TLN262123 TVJ262123 UFF262123 UPB262123 UYX262123 VIT262123 VSP262123 WCL262123 WMH262123 WWD262123 JR327659 TN327659 ADJ327659 ANF327659 AXB327659 BGX327659 BQT327659 CAP327659 CKL327659 CUH327659 DED327659 DNZ327659 DXV327659 EHR327659 ERN327659 FBJ327659 FLF327659 FVB327659 GEX327659 GOT327659 GYP327659 HIL327659 HSH327659 ICD327659 ILZ327659 IVV327659 JFR327659 JPN327659 JZJ327659 KJF327659 KTB327659 LCX327659 LMT327659 LWP327659 MGL327659 MQH327659 NAD327659 NJZ327659 NTV327659 ODR327659 ONN327659 OXJ327659 PHF327659 PRB327659 QAX327659 QKT327659 QUP327659 REL327659 ROH327659 RYD327659 SHZ327659 SRV327659 TBR327659 TLN327659 TVJ327659 UFF327659 UPB327659 UYX327659 VIT327659 VSP327659 WCL327659 WMH327659 WWD327659 JR393195 TN393195 ADJ393195 ANF393195 AXB393195 BGX393195 BQT393195 CAP393195 CKL393195 CUH393195 DED393195 DNZ393195 DXV393195 EHR393195 ERN393195 FBJ393195 FLF393195 FVB393195 GEX393195 GOT393195 GYP393195 HIL393195 HSH393195 ICD393195 ILZ393195 IVV393195 JFR393195 JPN393195 JZJ393195 KJF393195 KTB393195 LCX393195 LMT393195 LWP393195 MGL393195 MQH393195 NAD393195 NJZ393195 NTV393195 ODR393195 ONN393195 OXJ393195 PHF393195 PRB393195 QAX393195 QKT393195 QUP393195 REL393195 ROH393195 RYD393195 SHZ393195 SRV393195 TBR393195 TLN393195 TVJ393195 UFF393195 UPB393195 UYX393195 VIT393195 VSP393195 WCL393195 WMH393195 WWD393195 JR458731 TN458731 ADJ458731 ANF458731 AXB458731 BGX458731 BQT458731 CAP458731 CKL458731 CUH458731 DED458731 DNZ458731 DXV458731 EHR458731 ERN458731 FBJ458731 FLF458731 FVB458731 GEX458731 GOT458731 GYP458731 HIL458731 HSH458731 ICD458731 ILZ458731 IVV458731 JFR458731 JPN458731 JZJ458731 KJF458731 KTB458731 LCX458731 LMT458731 LWP458731 MGL458731 MQH458731 NAD458731 NJZ458731 NTV458731 ODR458731 ONN458731 OXJ458731 PHF458731 PRB458731 QAX458731 QKT458731 QUP458731 REL458731 ROH458731 RYD458731 SHZ458731 SRV458731 TBR458731 TLN458731 TVJ458731 UFF458731 UPB458731 UYX458731 VIT458731 VSP458731 WCL458731 WMH458731 WWD458731 JR524267 TN524267 ADJ524267 ANF524267 AXB524267 BGX524267 BQT524267 CAP524267 CKL524267 CUH524267 DED524267 DNZ524267 DXV524267 EHR524267 ERN524267 FBJ524267 FLF524267 FVB524267 GEX524267 GOT524267 GYP524267 HIL524267 HSH524267 ICD524267 ILZ524267 IVV524267 JFR524267 JPN524267 JZJ524267 KJF524267 KTB524267 LCX524267 LMT524267 LWP524267 MGL524267 MQH524267 NAD524267 NJZ524267 NTV524267 ODR524267 ONN524267 OXJ524267 PHF524267 PRB524267 QAX524267 QKT524267 QUP524267 REL524267 ROH524267 RYD524267 SHZ524267 SRV524267 TBR524267 TLN524267 TVJ524267 UFF524267 UPB524267 UYX524267 VIT524267 VSP524267 WCL524267 WMH524267 WWD524267 JR589803 TN589803 ADJ589803 ANF589803 AXB589803 BGX589803 BQT589803 CAP589803 CKL589803 CUH589803 DED589803 DNZ589803 DXV589803 EHR589803 ERN589803 FBJ589803 FLF589803 FVB589803 GEX589803 GOT589803 GYP589803 HIL589803 HSH589803 ICD589803 ILZ589803 IVV589803 JFR589803 JPN589803 JZJ589803 KJF589803 KTB589803 LCX589803 LMT589803 LWP589803 MGL589803 MQH589803 NAD589803 NJZ589803 NTV589803 ODR589803 ONN589803 OXJ589803 PHF589803 PRB589803 QAX589803 QKT589803 QUP589803 REL589803 ROH589803 RYD589803 SHZ589803 SRV589803 TBR589803 TLN589803 TVJ589803 UFF589803 UPB589803 UYX589803 VIT589803 VSP589803 WCL589803 WMH589803 WWD589803 JR655339 TN655339 ADJ655339 ANF655339 AXB655339 BGX655339 BQT655339 CAP655339 CKL655339 CUH655339 DED655339 DNZ655339 DXV655339 EHR655339 ERN655339 FBJ655339 FLF655339 FVB655339 GEX655339 GOT655339 GYP655339 HIL655339 HSH655339 ICD655339 ILZ655339 IVV655339 JFR655339 JPN655339 JZJ655339 KJF655339 KTB655339 LCX655339 LMT655339 LWP655339 MGL655339 MQH655339 NAD655339 NJZ655339 NTV655339 ODR655339 ONN655339 OXJ655339 PHF655339 PRB655339 QAX655339 QKT655339 QUP655339 REL655339 ROH655339 RYD655339 SHZ655339 SRV655339 TBR655339 TLN655339 TVJ655339 UFF655339 UPB655339 UYX655339 VIT655339 VSP655339 WCL655339 WMH655339 WWD655339 JR720875 TN720875 ADJ720875 ANF720875 AXB720875 BGX720875 BQT720875 CAP720875 CKL720875 CUH720875 DED720875 DNZ720875 DXV720875 EHR720875 ERN720875 FBJ720875 FLF720875 FVB720875 GEX720875 GOT720875 GYP720875 HIL720875 HSH720875 ICD720875 ILZ720875 IVV720875 JFR720875 JPN720875 JZJ720875 KJF720875 KTB720875 LCX720875 LMT720875 LWP720875 MGL720875 MQH720875 NAD720875 NJZ720875 NTV720875 ODR720875 ONN720875 OXJ720875 PHF720875 PRB720875 QAX720875 QKT720875 QUP720875 REL720875 ROH720875 RYD720875 SHZ720875 SRV720875 TBR720875 TLN720875 TVJ720875 UFF720875 UPB720875 UYX720875 VIT720875 VSP720875 WCL720875 WMH720875 WWD720875 JR786411 TN786411 ADJ786411 ANF786411 AXB786411 BGX786411 BQT786411 CAP786411 CKL786411 CUH786411 DED786411 DNZ786411 DXV786411 EHR786411 ERN786411 FBJ786411 FLF786411 FVB786411 GEX786411 GOT786411 GYP786411 HIL786411 HSH786411 ICD786411 ILZ786411 IVV786411 JFR786411 JPN786411 JZJ786411 KJF786411 KTB786411 LCX786411 LMT786411 LWP786411 MGL786411 MQH786411 NAD786411 NJZ786411 NTV786411 ODR786411 ONN786411 OXJ786411 PHF786411 PRB786411 QAX786411 QKT786411 QUP786411 REL786411 ROH786411 RYD786411 SHZ786411 SRV786411 TBR786411 TLN786411 TVJ786411 UFF786411 UPB786411 UYX786411 VIT786411 VSP786411 WCL786411 WMH786411 WWD786411 JR851947 TN851947 ADJ851947 ANF851947 AXB851947 BGX851947 BQT851947 CAP851947 CKL851947 CUH851947 DED851947 DNZ851947 DXV851947 EHR851947 ERN851947 FBJ851947 FLF851947 FVB851947 GEX851947 GOT851947 GYP851947 HIL851947 HSH851947 ICD851947 ILZ851947 IVV851947 JFR851947 JPN851947 JZJ851947 KJF851947 KTB851947 LCX851947 LMT851947 LWP851947 MGL851947 MQH851947 NAD851947 NJZ851947 NTV851947 ODR851947 ONN851947 OXJ851947 PHF851947 PRB851947 QAX851947 QKT851947 QUP851947 REL851947 ROH851947 RYD851947 SHZ851947 SRV851947 TBR851947 TLN851947 TVJ851947 UFF851947 UPB851947 UYX851947 VIT851947 VSP851947 WCL851947 WMH851947 WWD851947 JR917483 TN917483 ADJ917483 ANF917483 AXB917483 BGX917483 BQT917483 CAP917483 CKL917483 CUH917483 DED917483 DNZ917483 DXV917483 EHR917483 ERN917483 FBJ917483 FLF917483 FVB917483 GEX917483 GOT917483 GYP917483 HIL917483 HSH917483 ICD917483 ILZ917483 IVV917483 JFR917483 JPN917483 JZJ917483 KJF917483 KTB917483 LCX917483 LMT917483 LWP917483 MGL917483 MQH917483 NAD917483 NJZ917483 NTV917483 ODR917483 ONN917483 OXJ917483 PHF917483 PRB917483 QAX917483 QKT917483 QUP917483 REL917483 ROH917483 RYD917483 SHZ917483 SRV917483 TBR917483 TLN917483 TVJ917483 UFF917483 UPB917483 UYX917483 VIT917483 VSP917483 WCL917483 WMH917483 WWD917483 JR983019 TN983019 ADJ983019 ANF983019 AXB983019 BGX983019 BQT983019 CAP983019 CKL983019 CUH983019 DED983019 DNZ983019 DXV983019 EHR983019 ERN983019 FBJ983019 FLF983019 FVB983019 GEX983019 GOT983019 GYP983019 HIL983019 HSH983019 ICD983019 ILZ983019 IVV983019 JFR983019 JPN983019 JZJ983019 KJF983019 KTB983019 LCX983019 LMT983019 LWP983019 MGL983019 MQH983019 NAD983019 NJZ983019 NTV983019 ODR983019 ONN983019 OXJ983019 PHF983019 PRB983019 QAX983019 QKT983019 QUP983019 REL983019 ROH983019 RYD983019 SHZ983019 SRV983019 TBR983019 TLN983019 TVJ983019 UFF983019 UPB983019 UYX983019 VIT983019 VSP983019 WCL983019 WMH983019 WWD983019"/>
    <dataValidation allowBlank="1" showInputMessage="1" showErrorMessage="1" prompt="53.347901" sqref="JP65515 TL65515 ADH65515 AND65515 AWZ65515 BGV65515 BQR65515 CAN65515 CKJ65515 CUF65515 DEB65515 DNX65515 DXT65515 EHP65515 ERL65515 FBH65515 FLD65515 FUZ65515 GEV65515 GOR65515 GYN65515 HIJ65515 HSF65515 ICB65515 ILX65515 IVT65515 JFP65515 JPL65515 JZH65515 KJD65515 KSZ65515 LCV65515 LMR65515 LWN65515 MGJ65515 MQF65515 NAB65515 NJX65515 NTT65515 ODP65515 ONL65515 OXH65515 PHD65515 PQZ65515 QAV65515 QKR65515 QUN65515 REJ65515 ROF65515 RYB65515 SHX65515 SRT65515 TBP65515 TLL65515 TVH65515 UFD65515 UOZ65515 UYV65515 VIR65515 VSN65515 WCJ65515 WMF65515 WWB65515 JP131051 TL131051 ADH131051 AND131051 AWZ131051 BGV131051 BQR131051 CAN131051 CKJ131051 CUF131051 DEB131051 DNX131051 DXT131051 EHP131051 ERL131051 FBH131051 FLD131051 FUZ131051 GEV131051 GOR131051 GYN131051 HIJ131051 HSF131051 ICB131051 ILX131051 IVT131051 JFP131051 JPL131051 JZH131051 KJD131051 KSZ131051 LCV131051 LMR131051 LWN131051 MGJ131051 MQF131051 NAB131051 NJX131051 NTT131051 ODP131051 ONL131051 OXH131051 PHD131051 PQZ131051 QAV131051 QKR131051 QUN131051 REJ131051 ROF131051 RYB131051 SHX131051 SRT131051 TBP131051 TLL131051 TVH131051 UFD131051 UOZ131051 UYV131051 VIR131051 VSN131051 WCJ131051 WMF131051 WWB131051 JP196587 TL196587 ADH196587 AND196587 AWZ196587 BGV196587 BQR196587 CAN196587 CKJ196587 CUF196587 DEB196587 DNX196587 DXT196587 EHP196587 ERL196587 FBH196587 FLD196587 FUZ196587 GEV196587 GOR196587 GYN196587 HIJ196587 HSF196587 ICB196587 ILX196587 IVT196587 JFP196587 JPL196587 JZH196587 KJD196587 KSZ196587 LCV196587 LMR196587 LWN196587 MGJ196587 MQF196587 NAB196587 NJX196587 NTT196587 ODP196587 ONL196587 OXH196587 PHD196587 PQZ196587 QAV196587 QKR196587 QUN196587 REJ196587 ROF196587 RYB196587 SHX196587 SRT196587 TBP196587 TLL196587 TVH196587 UFD196587 UOZ196587 UYV196587 VIR196587 VSN196587 WCJ196587 WMF196587 WWB196587 JP262123 TL262123 ADH262123 AND262123 AWZ262123 BGV262123 BQR262123 CAN262123 CKJ262123 CUF262123 DEB262123 DNX262123 DXT262123 EHP262123 ERL262123 FBH262123 FLD262123 FUZ262123 GEV262123 GOR262123 GYN262123 HIJ262123 HSF262123 ICB262123 ILX262123 IVT262123 JFP262123 JPL262123 JZH262123 KJD262123 KSZ262123 LCV262123 LMR262123 LWN262123 MGJ262123 MQF262123 NAB262123 NJX262123 NTT262123 ODP262123 ONL262123 OXH262123 PHD262123 PQZ262123 QAV262123 QKR262123 QUN262123 REJ262123 ROF262123 RYB262123 SHX262123 SRT262123 TBP262123 TLL262123 TVH262123 UFD262123 UOZ262123 UYV262123 VIR262123 VSN262123 WCJ262123 WMF262123 WWB262123 JP327659 TL327659 ADH327659 AND327659 AWZ327659 BGV327659 BQR327659 CAN327659 CKJ327659 CUF327659 DEB327659 DNX327659 DXT327659 EHP327659 ERL327659 FBH327659 FLD327659 FUZ327659 GEV327659 GOR327659 GYN327659 HIJ327659 HSF327659 ICB327659 ILX327659 IVT327659 JFP327659 JPL327659 JZH327659 KJD327659 KSZ327659 LCV327659 LMR327659 LWN327659 MGJ327659 MQF327659 NAB327659 NJX327659 NTT327659 ODP327659 ONL327659 OXH327659 PHD327659 PQZ327659 QAV327659 QKR327659 QUN327659 REJ327659 ROF327659 RYB327659 SHX327659 SRT327659 TBP327659 TLL327659 TVH327659 UFD327659 UOZ327659 UYV327659 VIR327659 VSN327659 WCJ327659 WMF327659 WWB327659 JP393195 TL393195 ADH393195 AND393195 AWZ393195 BGV393195 BQR393195 CAN393195 CKJ393195 CUF393195 DEB393195 DNX393195 DXT393195 EHP393195 ERL393195 FBH393195 FLD393195 FUZ393195 GEV393195 GOR393195 GYN393195 HIJ393195 HSF393195 ICB393195 ILX393195 IVT393195 JFP393195 JPL393195 JZH393195 KJD393195 KSZ393195 LCV393195 LMR393195 LWN393195 MGJ393195 MQF393195 NAB393195 NJX393195 NTT393195 ODP393195 ONL393195 OXH393195 PHD393195 PQZ393195 QAV393195 QKR393195 QUN393195 REJ393195 ROF393195 RYB393195 SHX393195 SRT393195 TBP393195 TLL393195 TVH393195 UFD393195 UOZ393195 UYV393195 VIR393195 VSN393195 WCJ393195 WMF393195 WWB393195 JP458731 TL458731 ADH458731 AND458731 AWZ458731 BGV458731 BQR458731 CAN458731 CKJ458731 CUF458731 DEB458731 DNX458731 DXT458731 EHP458731 ERL458731 FBH458731 FLD458731 FUZ458731 GEV458731 GOR458731 GYN458731 HIJ458731 HSF458731 ICB458731 ILX458731 IVT458731 JFP458731 JPL458731 JZH458731 KJD458731 KSZ458731 LCV458731 LMR458731 LWN458731 MGJ458731 MQF458731 NAB458731 NJX458731 NTT458731 ODP458731 ONL458731 OXH458731 PHD458731 PQZ458731 QAV458731 QKR458731 QUN458731 REJ458731 ROF458731 RYB458731 SHX458731 SRT458731 TBP458731 TLL458731 TVH458731 UFD458731 UOZ458731 UYV458731 VIR458731 VSN458731 WCJ458731 WMF458731 WWB458731 JP524267 TL524267 ADH524267 AND524267 AWZ524267 BGV524267 BQR524267 CAN524267 CKJ524267 CUF524267 DEB524267 DNX524267 DXT524267 EHP524267 ERL524267 FBH524267 FLD524267 FUZ524267 GEV524267 GOR524267 GYN524267 HIJ524267 HSF524267 ICB524267 ILX524267 IVT524267 JFP524267 JPL524267 JZH524267 KJD524267 KSZ524267 LCV524267 LMR524267 LWN524267 MGJ524267 MQF524267 NAB524267 NJX524267 NTT524267 ODP524267 ONL524267 OXH524267 PHD524267 PQZ524267 QAV524267 QKR524267 QUN524267 REJ524267 ROF524267 RYB524267 SHX524267 SRT524267 TBP524267 TLL524267 TVH524267 UFD524267 UOZ524267 UYV524267 VIR524267 VSN524267 WCJ524267 WMF524267 WWB524267 JP589803 TL589803 ADH589803 AND589803 AWZ589803 BGV589803 BQR589803 CAN589803 CKJ589803 CUF589803 DEB589803 DNX589803 DXT589803 EHP589803 ERL589803 FBH589803 FLD589803 FUZ589803 GEV589803 GOR589803 GYN589803 HIJ589803 HSF589803 ICB589803 ILX589803 IVT589803 JFP589803 JPL589803 JZH589803 KJD589803 KSZ589803 LCV589803 LMR589803 LWN589803 MGJ589803 MQF589803 NAB589803 NJX589803 NTT589803 ODP589803 ONL589803 OXH589803 PHD589803 PQZ589803 QAV589803 QKR589803 QUN589803 REJ589803 ROF589803 RYB589803 SHX589803 SRT589803 TBP589803 TLL589803 TVH589803 UFD589803 UOZ589803 UYV589803 VIR589803 VSN589803 WCJ589803 WMF589803 WWB589803 JP655339 TL655339 ADH655339 AND655339 AWZ655339 BGV655339 BQR655339 CAN655339 CKJ655339 CUF655339 DEB655339 DNX655339 DXT655339 EHP655339 ERL655339 FBH655339 FLD655339 FUZ655339 GEV655339 GOR655339 GYN655339 HIJ655339 HSF655339 ICB655339 ILX655339 IVT655339 JFP655339 JPL655339 JZH655339 KJD655339 KSZ655339 LCV655339 LMR655339 LWN655339 MGJ655339 MQF655339 NAB655339 NJX655339 NTT655339 ODP655339 ONL655339 OXH655339 PHD655339 PQZ655339 QAV655339 QKR655339 QUN655339 REJ655339 ROF655339 RYB655339 SHX655339 SRT655339 TBP655339 TLL655339 TVH655339 UFD655339 UOZ655339 UYV655339 VIR655339 VSN655339 WCJ655339 WMF655339 WWB655339 JP720875 TL720875 ADH720875 AND720875 AWZ720875 BGV720875 BQR720875 CAN720875 CKJ720875 CUF720875 DEB720875 DNX720875 DXT720875 EHP720875 ERL720875 FBH720875 FLD720875 FUZ720875 GEV720875 GOR720875 GYN720875 HIJ720875 HSF720875 ICB720875 ILX720875 IVT720875 JFP720875 JPL720875 JZH720875 KJD720875 KSZ720875 LCV720875 LMR720875 LWN720875 MGJ720875 MQF720875 NAB720875 NJX720875 NTT720875 ODP720875 ONL720875 OXH720875 PHD720875 PQZ720875 QAV720875 QKR720875 QUN720875 REJ720875 ROF720875 RYB720875 SHX720875 SRT720875 TBP720875 TLL720875 TVH720875 UFD720875 UOZ720875 UYV720875 VIR720875 VSN720875 WCJ720875 WMF720875 WWB720875 JP786411 TL786411 ADH786411 AND786411 AWZ786411 BGV786411 BQR786411 CAN786411 CKJ786411 CUF786411 DEB786411 DNX786411 DXT786411 EHP786411 ERL786411 FBH786411 FLD786411 FUZ786411 GEV786411 GOR786411 GYN786411 HIJ786411 HSF786411 ICB786411 ILX786411 IVT786411 JFP786411 JPL786411 JZH786411 KJD786411 KSZ786411 LCV786411 LMR786411 LWN786411 MGJ786411 MQF786411 NAB786411 NJX786411 NTT786411 ODP786411 ONL786411 OXH786411 PHD786411 PQZ786411 QAV786411 QKR786411 QUN786411 REJ786411 ROF786411 RYB786411 SHX786411 SRT786411 TBP786411 TLL786411 TVH786411 UFD786411 UOZ786411 UYV786411 VIR786411 VSN786411 WCJ786411 WMF786411 WWB786411 JP851947 TL851947 ADH851947 AND851947 AWZ851947 BGV851947 BQR851947 CAN851947 CKJ851947 CUF851947 DEB851947 DNX851947 DXT851947 EHP851947 ERL851947 FBH851947 FLD851947 FUZ851947 GEV851947 GOR851947 GYN851947 HIJ851947 HSF851947 ICB851947 ILX851947 IVT851947 JFP851947 JPL851947 JZH851947 KJD851947 KSZ851947 LCV851947 LMR851947 LWN851947 MGJ851947 MQF851947 NAB851947 NJX851947 NTT851947 ODP851947 ONL851947 OXH851947 PHD851947 PQZ851947 QAV851947 QKR851947 QUN851947 REJ851947 ROF851947 RYB851947 SHX851947 SRT851947 TBP851947 TLL851947 TVH851947 UFD851947 UOZ851947 UYV851947 VIR851947 VSN851947 WCJ851947 WMF851947 WWB851947 JP917483 TL917483 ADH917483 AND917483 AWZ917483 BGV917483 BQR917483 CAN917483 CKJ917483 CUF917483 DEB917483 DNX917483 DXT917483 EHP917483 ERL917483 FBH917483 FLD917483 FUZ917483 GEV917483 GOR917483 GYN917483 HIJ917483 HSF917483 ICB917483 ILX917483 IVT917483 JFP917483 JPL917483 JZH917483 KJD917483 KSZ917483 LCV917483 LMR917483 LWN917483 MGJ917483 MQF917483 NAB917483 NJX917483 NTT917483 ODP917483 ONL917483 OXH917483 PHD917483 PQZ917483 QAV917483 QKR917483 QUN917483 REJ917483 ROF917483 RYB917483 SHX917483 SRT917483 TBP917483 TLL917483 TVH917483 UFD917483 UOZ917483 UYV917483 VIR917483 VSN917483 WCJ917483 WMF917483 WWB917483 JP983019 TL983019 ADH983019 AND983019 AWZ983019 BGV983019 BQR983019 CAN983019 CKJ983019 CUF983019 DEB983019 DNX983019 DXT983019 EHP983019 ERL983019 FBH983019 FLD983019 FUZ983019 GEV983019 GOR983019 GYN983019 HIJ983019 HSF983019 ICB983019 ILX983019 IVT983019 JFP983019 JPL983019 JZH983019 KJD983019 KSZ983019 LCV983019 LMR983019 LWN983019 MGJ983019 MQF983019 NAB983019 NJX983019 NTT983019 ODP983019 ONL983019 OXH983019 PHD983019 PQZ983019 QAV983019 QKR983019 QUN983019 REJ983019 ROF983019 RYB983019 SHX983019 SRT983019 TBP983019 TLL983019 TVH983019 UFD983019 UOZ983019 UYV983019 VIR983019 VSN983019 WCJ983019 WMF983019 WWB983019"/>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0"/>
  <sheetViews>
    <sheetView view="pageLayout" topLeftCell="A86" zoomScale="80" zoomScaleNormal="100" zoomScalePageLayoutView="80" workbookViewId="0">
      <selection activeCell="J117" sqref="J117:L118"/>
    </sheetView>
  </sheetViews>
  <sheetFormatPr defaultRowHeight="15" customHeight="1" x14ac:dyDescent="0.3"/>
  <cols>
    <col min="1" max="1" width="2.6640625" style="2" customWidth="1"/>
    <col min="2" max="6" width="5.33203125" style="2" customWidth="1"/>
    <col min="7" max="7" width="4.6640625" style="2" customWidth="1"/>
    <col min="8" max="24" width="5.33203125" style="2" customWidth="1"/>
    <col min="25" max="25" width="14.6640625" style="2" customWidth="1"/>
    <col min="26" max="26" width="2.6640625" style="2" customWidth="1"/>
    <col min="27" max="30" width="7.6640625" style="2" customWidth="1"/>
    <col min="31" max="31" width="8.44140625" style="2" bestFit="1" customWidth="1"/>
    <col min="32" max="276" width="7.6640625" style="2" customWidth="1"/>
    <col min="277" max="277" width="14.33203125" style="2" customWidth="1"/>
    <col min="278" max="278" width="4" style="2" customWidth="1"/>
    <col min="279" max="279" width="14.33203125" style="2" customWidth="1"/>
    <col min="280" max="280" width="4" style="2" customWidth="1"/>
    <col min="281" max="532" width="7.6640625" style="2" customWidth="1"/>
    <col min="533" max="533" width="14.33203125" style="2" customWidth="1"/>
    <col min="534" max="534" width="4" style="2" customWidth="1"/>
    <col min="535" max="535" width="14.33203125" style="2" customWidth="1"/>
    <col min="536" max="536" width="4" style="2" customWidth="1"/>
    <col min="537" max="788" width="7.6640625" style="2" customWidth="1"/>
    <col min="789" max="789" width="14.33203125" style="2" customWidth="1"/>
    <col min="790" max="790" width="4" style="2" customWidth="1"/>
    <col min="791" max="791" width="14.33203125" style="2" customWidth="1"/>
    <col min="792" max="792" width="4" style="2" customWidth="1"/>
    <col min="793" max="1044" width="7.6640625" style="2" customWidth="1"/>
    <col min="1045" max="1045" width="14.33203125" style="2" customWidth="1"/>
    <col min="1046" max="1046" width="4" style="2" customWidth="1"/>
    <col min="1047" max="1047" width="14.33203125" style="2" customWidth="1"/>
    <col min="1048" max="1048" width="4" style="2" customWidth="1"/>
    <col min="1049" max="1300" width="7.6640625" style="2" customWidth="1"/>
    <col min="1301" max="1301" width="14.33203125" style="2" customWidth="1"/>
    <col min="1302" max="1302" width="4" style="2" customWidth="1"/>
    <col min="1303" max="1303" width="14.33203125" style="2" customWidth="1"/>
    <col min="1304" max="1304" width="4" style="2" customWidth="1"/>
    <col min="1305" max="1556" width="7.6640625" style="2" customWidth="1"/>
    <col min="1557" max="1557" width="14.33203125" style="2" customWidth="1"/>
    <col min="1558" max="1558" width="4" style="2" customWidth="1"/>
    <col min="1559" max="1559" width="14.33203125" style="2" customWidth="1"/>
    <col min="1560" max="1560" width="4" style="2" customWidth="1"/>
    <col min="1561" max="1812" width="7.6640625" style="2" customWidth="1"/>
    <col min="1813" max="1813" width="14.33203125" style="2" customWidth="1"/>
    <col min="1814" max="1814" width="4" style="2" customWidth="1"/>
    <col min="1815" max="1815" width="14.33203125" style="2" customWidth="1"/>
    <col min="1816" max="1816" width="4" style="2" customWidth="1"/>
    <col min="1817" max="2068" width="7.6640625" style="2" customWidth="1"/>
    <col min="2069" max="2069" width="14.33203125" style="2" customWidth="1"/>
    <col min="2070" max="2070" width="4" style="2" customWidth="1"/>
    <col min="2071" max="2071" width="14.33203125" style="2" customWidth="1"/>
    <col min="2072" max="2072" width="4" style="2" customWidth="1"/>
    <col min="2073" max="2324" width="7.6640625" style="2" customWidth="1"/>
    <col min="2325" max="2325" width="14.33203125" style="2" customWidth="1"/>
    <col min="2326" max="2326" width="4" style="2" customWidth="1"/>
    <col min="2327" max="2327" width="14.33203125" style="2" customWidth="1"/>
    <col min="2328" max="2328" width="4" style="2" customWidth="1"/>
    <col min="2329" max="2580" width="7.6640625" style="2" customWidth="1"/>
    <col min="2581" max="2581" width="14.33203125" style="2" customWidth="1"/>
    <col min="2582" max="2582" width="4" style="2" customWidth="1"/>
    <col min="2583" max="2583" width="14.33203125" style="2" customWidth="1"/>
    <col min="2584" max="2584" width="4" style="2" customWidth="1"/>
    <col min="2585" max="2836" width="7.6640625" style="2" customWidth="1"/>
    <col min="2837" max="2837" width="14.33203125" style="2" customWidth="1"/>
    <col min="2838" max="2838" width="4" style="2" customWidth="1"/>
    <col min="2839" max="2839" width="14.33203125" style="2" customWidth="1"/>
    <col min="2840" max="2840" width="4" style="2" customWidth="1"/>
    <col min="2841" max="3092" width="7.6640625" style="2" customWidth="1"/>
    <col min="3093" max="3093" width="14.33203125" style="2" customWidth="1"/>
    <col min="3094" max="3094" width="4" style="2" customWidth="1"/>
    <col min="3095" max="3095" width="14.33203125" style="2" customWidth="1"/>
    <col min="3096" max="3096" width="4" style="2" customWidth="1"/>
    <col min="3097" max="3348" width="7.6640625" style="2" customWidth="1"/>
    <col min="3349" max="3349" width="14.33203125" style="2" customWidth="1"/>
    <col min="3350" max="3350" width="4" style="2" customWidth="1"/>
    <col min="3351" max="3351" width="14.33203125" style="2" customWidth="1"/>
    <col min="3352" max="3352" width="4" style="2" customWidth="1"/>
    <col min="3353" max="3604" width="7.6640625" style="2" customWidth="1"/>
    <col min="3605" max="3605" width="14.33203125" style="2" customWidth="1"/>
    <col min="3606" max="3606" width="4" style="2" customWidth="1"/>
    <col min="3607" max="3607" width="14.33203125" style="2" customWidth="1"/>
    <col min="3608" max="3608" width="4" style="2" customWidth="1"/>
    <col min="3609" max="3860" width="7.6640625" style="2" customWidth="1"/>
    <col min="3861" max="3861" width="14.33203125" style="2" customWidth="1"/>
    <col min="3862" max="3862" width="4" style="2" customWidth="1"/>
    <col min="3863" max="3863" width="14.33203125" style="2" customWidth="1"/>
    <col min="3864" max="3864" width="4" style="2" customWidth="1"/>
    <col min="3865" max="4116" width="7.6640625" style="2" customWidth="1"/>
    <col min="4117" max="4117" width="14.33203125" style="2" customWidth="1"/>
    <col min="4118" max="4118" width="4" style="2" customWidth="1"/>
    <col min="4119" max="4119" width="14.33203125" style="2" customWidth="1"/>
    <col min="4120" max="4120" width="4" style="2" customWidth="1"/>
    <col min="4121" max="4372" width="7.6640625" style="2" customWidth="1"/>
    <col min="4373" max="4373" width="14.33203125" style="2" customWidth="1"/>
    <col min="4374" max="4374" width="4" style="2" customWidth="1"/>
    <col min="4375" max="4375" width="14.33203125" style="2" customWidth="1"/>
    <col min="4376" max="4376" width="4" style="2" customWidth="1"/>
    <col min="4377" max="4628" width="7.6640625" style="2" customWidth="1"/>
    <col min="4629" max="4629" width="14.33203125" style="2" customWidth="1"/>
    <col min="4630" max="4630" width="4" style="2" customWidth="1"/>
    <col min="4631" max="4631" width="14.33203125" style="2" customWidth="1"/>
    <col min="4632" max="4632" width="4" style="2" customWidth="1"/>
    <col min="4633" max="4884" width="7.6640625" style="2" customWidth="1"/>
    <col min="4885" max="4885" width="14.33203125" style="2" customWidth="1"/>
    <col min="4886" max="4886" width="4" style="2" customWidth="1"/>
    <col min="4887" max="4887" width="14.33203125" style="2" customWidth="1"/>
    <col min="4888" max="4888" width="4" style="2" customWidth="1"/>
    <col min="4889" max="5140" width="7.6640625" style="2" customWidth="1"/>
    <col min="5141" max="5141" width="14.33203125" style="2" customWidth="1"/>
    <col min="5142" max="5142" width="4" style="2" customWidth="1"/>
    <col min="5143" max="5143" width="14.33203125" style="2" customWidth="1"/>
    <col min="5144" max="5144" width="4" style="2" customWidth="1"/>
    <col min="5145" max="5396" width="7.6640625" style="2" customWidth="1"/>
    <col min="5397" max="5397" width="14.33203125" style="2" customWidth="1"/>
    <col min="5398" max="5398" width="4" style="2" customWidth="1"/>
    <col min="5399" max="5399" width="14.33203125" style="2" customWidth="1"/>
    <col min="5400" max="5400" width="4" style="2" customWidth="1"/>
    <col min="5401" max="5652" width="7.6640625" style="2" customWidth="1"/>
    <col min="5653" max="5653" width="14.33203125" style="2" customWidth="1"/>
    <col min="5654" max="5654" width="4" style="2" customWidth="1"/>
    <col min="5655" max="5655" width="14.33203125" style="2" customWidth="1"/>
    <col min="5656" max="5656" width="4" style="2" customWidth="1"/>
    <col min="5657" max="5908" width="7.6640625" style="2" customWidth="1"/>
    <col min="5909" max="5909" width="14.33203125" style="2" customWidth="1"/>
    <col min="5910" max="5910" width="4" style="2" customWidth="1"/>
    <col min="5911" max="5911" width="14.33203125" style="2" customWidth="1"/>
    <col min="5912" max="5912" width="4" style="2" customWidth="1"/>
    <col min="5913" max="6164" width="7.6640625" style="2" customWidth="1"/>
    <col min="6165" max="6165" width="14.33203125" style="2" customWidth="1"/>
    <col min="6166" max="6166" width="4" style="2" customWidth="1"/>
    <col min="6167" max="6167" width="14.33203125" style="2" customWidth="1"/>
    <col min="6168" max="6168" width="4" style="2" customWidth="1"/>
    <col min="6169" max="6420" width="7.6640625" style="2" customWidth="1"/>
    <col min="6421" max="6421" width="14.33203125" style="2" customWidth="1"/>
    <col min="6422" max="6422" width="4" style="2" customWidth="1"/>
    <col min="6423" max="6423" width="14.33203125" style="2" customWidth="1"/>
    <col min="6424" max="6424" width="4" style="2" customWidth="1"/>
    <col min="6425" max="6676" width="7.6640625" style="2" customWidth="1"/>
    <col min="6677" max="6677" width="14.33203125" style="2" customWidth="1"/>
    <col min="6678" max="6678" width="4" style="2" customWidth="1"/>
    <col min="6679" max="6679" width="14.33203125" style="2" customWidth="1"/>
    <col min="6680" max="6680" width="4" style="2" customWidth="1"/>
    <col min="6681" max="6932" width="7.6640625" style="2" customWidth="1"/>
    <col min="6933" max="6933" width="14.33203125" style="2" customWidth="1"/>
    <col min="6934" max="6934" width="4" style="2" customWidth="1"/>
    <col min="6935" max="6935" width="14.33203125" style="2" customWidth="1"/>
    <col min="6936" max="6936" width="4" style="2" customWidth="1"/>
    <col min="6937" max="7188" width="7.6640625" style="2" customWidth="1"/>
    <col min="7189" max="7189" width="14.33203125" style="2" customWidth="1"/>
    <col min="7190" max="7190" width="4" style="2" customWidth="1"/>
    <col min="7191" max="7191" width="14.33203125" style="2" customWidth="1"/>
    <col min="7192" max="7192" width="4" style="2" customWidth="1"/>
    <col min="7193" max="7444" width="7.6640625" style="2" customWidth="1"/>
    <col min="7445" max="7445" width="14.33203125" style="2" customWidth="1"/>
    <col min="7446" max="7446" width="4" style="2" customWidth="1"/>
    <col min="7447" max="7447" width="14.33203125" style="2" customWidth="1"/>
    <col min="7448" max="7448" width="4" style="2" customWidth="1"/>
    <col min="7449" max="7700" width="7.6640625" style="2" customWidth="1"/>
    <col min="7701" max="7701" width="14.33203125" style="2" customWidth="1"/>
    <col min="7702" max="7702" width="4" style="2" customWidth="1"/>
    <col min="7703" max="7703" width="14.33203125" style="2" customWidth="1"/>
    <col min="7704" max="7704" width="4" style="2" customWidth="1"/>
    <col min="7705" max="7956" width="7.6640625" style="2" customWidth="1"/>
    <col min="7957" max="7957" width="14.33203125" style="2" customWidth="1"/>
    <col min="7958" max="7958" width="4" style="2" customWidth="1"/>
    <col min="7959" max="7959" width="14.33203125" style="2" customWidth="1"/>
    <col min="7960" max="7960" width="4" style="2" customWidth="1"/>
    <col min="7961" max="8212" width="7.6640625" style="2" customWidth="1"/>
    <col min="8213" max="8213" width="14.33203125" style="2" customWidth="1"/>
    <col min="8214" max="8214" width="4" style="2" customWidth="1"/>
    <col min="8215" max="8215" width="14.33203125" style="2" customWidth="1"/>
    <col min="8216" max="8216" width="4" style="2" customWidth="1"/>
    <col min="8217" max="8468" width="7.6640625" style="2" customWidth="1"/>
    <col min="8469" max="8469" width="14.33203125" style="2" customWidth="1"/>
    <col min="8470" max="8470" width="4" style="2" customWidth="1"/>
    <col min="8471" max="8471" width="14.33203125" style="2" customWidth="1"/>
    <col min="8472" max="8472" width="4" style="2" customWidth="1"/>
    <col min="8473" max="8724" width="7.6640625" style="2" customWidth="1"/>
    <col min="8725" max="8725" width="14.33203125" style="2" customWidth="1"/>
    <col min="8726" max="8726" width="4" style="2" customWidth="1"/>
    <col min="8727" max="8727" width="14.33203125" style="2" customWidth="1"/>
    <col min="8728" max="8728" width="4" style="2" customWidth="1"/>
    <col min="8729" max="8980" width="7.6640625" style="2" customWidth="1"/>
    <col min="8981" max="8981" width="14.33203125" style="2" customWidth="1"/>
    <col min="8982" max="8982" width="4" style="2" customWidth="1"/>
    <col min="8983" max="8983" width="14.33203125" style="2" customWidth="1"/>
    <col min="8984" max="8984" width="4" style="2" customWidth="1"/>
    <col min="8985" max="9236" width="7.6640625" style="2" customWidth="1"/>
    <col min="9237" max="9237" width="14.33203125" style="2" customWidth="1"/>
    <col min="9238" max="9238" width="4" style="2" customWidth="1"/>
    <col min="9239" max="9239" width="14.33203125" style="2" customWidth="1"/>
    <col min="9240" max="9240" width="4" style="2" customWidth="1"/>
    <col min="9241" max="9492" width="7.6640625" style="2" customWidth="1"/>
    <col min="9493" max="9493" width="14.33203125" style="2" customWidth="1"/>
    <col min="9494" max="9494" width="4" style="2" customWidth="1"/>
    <col min="9495" max="9495" width="14.33203125" style="2" customWidth="1"/>
    <col min="9496" max="9496" width="4" style="2" customWidth="1"/>
    <col min="9497" max="9748" width="7.6640625" style="2" customWidth="1"/>
    <col min="9749" max="9749" width="14.33203125" style="2" customWidth="1"/>
    <col min="9750" max="9750" width="4" style="2" customWidth="1"/>
    <col min="9751" max="9751" width="14.33203125" style="2" customWidth="1"/>
    <col min="9752" max="9752" width="4" style="2" customWidth="1"/>
    <col min="9753" max="10004" width="7.6640625" style="2" customWidth="1"/>
    <col min="10005" max="10005" width="14.33203125" style="2" customWidth="1"/>
    <col min="10006" max="10006" width="4" style="2" customWidth="1"/>
    <col min="10007" max="10007" width="14.33203125" style="2" customWidth="1"/>
    <col min="10008" max="10008" width="4" style="2" customWidth="1"/>
    <col min="10009" max="10260" width="7.6640625" style="2" customWidth="1"/>
    <col min="10261" max="10261" width="14.33203125" style="2" customWidth="1"/>
    <col min="10262" max="10262" width="4" style="2" customWidth="1"/>
    <col min="10263" max="10263" width="14.33203125" style="2" customWidth="1"/>
    <col min="10264" max="10264" width="4" style="2" customWidth="1"/>
    <col min="10265" max="10516" width="7.6640625" style="2" customWidth="1"/>
    <col min="10517" max="10517" width="14.33203125" style="2" customWidth="1"/>
    <col min="10518" max="10518" width="4" style="2" customWidth="1"/>
    <col min="10519" max="10519" width="14.33203125" style="2" customWidth="1"/>
    <col min="10520" max="10520" width="4" style="2" customWidth="1"/>
    <col min="10521" max="10772" width="7.6640625" style="2" customWidth="1"/>
    <col min="10773" max="10773" width="14.33203125" style="2" customWidth="1"/>
    <col min="10774" max="10774" width="4" style="2" customWidth="1"/>
    <col min="10775" max="10775" width="14.33203125" style="2" customWidth="1"/>
    <col min="10776" max="10776" width="4" style="2" customWidth="1"/>
    <col min="10777" max="11028" width="7.6640625" style="2" customWidth="1"/>
    <col min="11029" max="11029" width="14.33203125" style="2" customWidth="1"/>
    <col min="11030" max="11030" width="4" style="2" customWidth="1"/>
    <col min="11031" max="11031" width="14.33203125" style="2" customWidth="1"/>
    <col min="11032" max="11032" width="4" style="2" customWidth="1"/>
    <col min="11033" max="11284" width="7.6640625" style="2" customWidth="1"/>
    <col min="11285" max="11285" width="14.33203125" style="2" customWidth="1"/>
    <col min="11286" max="11286" width="4" style="2" customWidth="1"/>
    <col min="11287" max="11287" width="14.33203125" style="2" customWidth="1"/>
    <col min="11288" max="11288" width="4" style="2" customWidth="1"/>
    <col min="11289" max="11540" width="7.6640625" style="2" customWidth="1"/>
    <col min="11541" max="11541" width="14.33203125" style="2" customWidth="1"/>
    <col min="11542" max="11542" width="4" style="2" customWidth="1"/>
    <col min="11543" max="11543" width="14.33203125" style="2" customWidth="1"/>
    <col min="11544" max="11544" width="4" style="2" customWidth="1"/>
    <col min="11545" max="11796" width="7.6640625" style="2" customWidth="1"/>
    <col min="11797" max="11797" width="14.33203125" style="2" customWidth="1"/>
    <col min="11798" max="11798" width="4" style="2" customWidth="1"/>
    <col min="11799" max="11799" width="14.33203125" style="2" customWidth="1"/>
    <col min="11800" max="11800" width="4" style="2" customWidth="1"/>
    <col min="11801" max="12052" width="7.6640625" style="2" customWidth="1"/>
    <col min="12053" max="12053" width="14.33203125" style="2" customWidth="1"/>
    <col min="12054" max="12054" width="4" style="2" customWidth="1"/>
    <col min="12055" max="12055" width="14.33203125" style="2" customWidth="1"/>
    <col min="12056" max="12056" width="4" style="2" customWidth="1"/>
    <col min="12057" max="12308" width="7.6640625" style="2" customWidth="1"/>
    <col min="12309" max="12309" width="14.33203125" style="2" customWidth="1"/>
    <col min="12310" max="12310" width="4" style="2" customWidth="1"/>
    <col min="12311" max="12311" width="14.33203125" style="2" customWidth="1"/>
    <col min="12312" max="12312" width="4" style="2" customWidth="1"/>
    <col min="12313" max="12564" width="7.6640625" style="2" customWidth="1"/>
    <col min="12565" max="12565" width="14.33203125" style="2" customWidth="1"/>
    <col min="12566" max="12566" width="4" style="2" customWidth="1"/>
    <col min="12567" max="12567" width="14.33203125" style="2" customWidth="1"/>
    <col min="12568" max="12568" width="4" style="2" customWidth="1"/>
    <col min="12569" max="12820" width="7.6640625" style="2" customWidth="1"/>
    <col min="12821" max="12821" width="14.33203125" style="2" customWidth="1"/>
    <col min="12822" max="12822" width="4" style="2" customWidth="1"/>
    <col min="12823" max="12823" width="14.33203125" style="2" customWidth="1"/>
    <col min="12824" max="12824" width="4" style="2" customWidth="1"/>
    <col min="12825" max="13076" width="7.6640625" style="2" customWidth="1"/>
    <col min="13077" max="13077" width="14.33203125" style="2" customWidth="1"/>
    <col min="13078" max="13078" width="4" style="2" customWidth="1"/>
    <col min="13079" max="13079" width="14.33203125" style="2" customWidth="1"/>
    <col min="13080" max="13080" width="4" style="2" customWidth="1"/>
    <col min="13081" max="13332" width="7.6640625" style="2" customWidth="1"/>
    <col min="13333" max="13333" width="14.33203125" style="2" customWidth="1"/>
    <col min="13334" max="13334" width="4" style="2" customWidth="1"/>
    <col min="13335" max="13335" width="14.33203125" style="2" customWidth="1"/>
    <col min="13336" max="13336" width="4" style="2" customWidth="1"/>
    <col min="13337" max="13588" width="7.6640625" style="2" customWidth="1"/>
    <col min="13589" max="13589" width="14.33203125" style="2" customWidth="1"/>
    <col min="13590" max="13590" width="4" style="2" customWidth="1"/>
    <col min="13591" max="13591" width="14.33203125" style="2" customWidth="1"/>
    <col min="13592" max="13592" width="4" style="2" customWidth="1"/>
    <col min="13593" max="13844" width="7.6640625" style="2" customWidth="1"/>
    <col min="13845" max="13845" width="14.33203125" style="2" customWidth="1"/>
    <col min="13846" max="13846" width="4" style="2" customWidth="1"/>
    <col min="13847" max="13847" width="14.33203125" style="2" customWidth="1"/>
    <col min="13848" max="13848" width="4" style="2" customWidth="1"/>
    <col min="13849" max="14100" width="7.6640625" style="2" customWidth="1"/>
    <col min="14101" max="14101" width="14.33203125" style="2" customWidth="1"/>
    <col min="14102" max="14102" width="4" style="2" customWidth="1"/>
    <col min="14103" max="14103" width="14.33203125" style="2" customWidth="1"/>
    <col min="14104" max="14104" width="4" style="2" customWidth="1"/>
    <col min="14105" max="14356" width="7.6640625" style="2" customWidth="1"/>
    <col min="14357" max="14357" width="14.33203125" style="2" customWidth="1"/>
    <col min="14358" max="14358" width="4" style="2" customWidth="1"/>
    <col min="14359" max="14359" width="14.33203125" style="2" customWidth="1"/>
    <col min="14360" max="14360" width="4" style="2" customWidth="1"/>
    <col min="14361" max="14612" width="7.6640625" style="2" customWidth="1"/>
    <col min="14613" max="14613" width="14.33203125" style="2" customWidth="1"/>
    <col min="14614" max="14614" width="4" style="2" customWidth="1"/>
    <col min="14615" max="14615" width="14.33203125" style="2" customWidth="1"/>
    <col min="14616" max="14616" width="4" style="2" customWidth="1"/>
    <col min="14617" max="14868" width="7.6640625" style="2" customWidth="1"/>
    <col min="14869" max="14869" width="14.33203125" style="2" customWidth="1"/>
    <col min="14870" max="14870" width="4" style="2" customWidth="1"/>
    <col min="14871" max="14871" width="14.33203125" style="2" customWidth="1"/>
    <col min="14872" max="14872" width="4" style="2" customWidth="1"/>
    <col min="14873" max="15124" width="7.6640625" style="2" customWidth="1"/>
    <col min="15125" max="15125" width="14.33203125" style="2" customWidth="1"/>
    <col min="15126" max="15126" width="4" style="2" customWidth="1"/>
    <col min="15127" max="15127" width="14.33203125" style="2" customWidth="1"/>
    <col min="15128" max="15128" width="4" style="2" customWidth="1"/>
    <col min="15129" max="15380" width="7.6640625" style="2" customWidth="1"/>
    <col min="15381" max="15381" width="14.33203125" style="2" customWidth="1"/>
    <col min="15382" max="15382" width="4" style="2" customWidth="1"/>
    <col min="15383" max="15383" width="14.33203125" style="2" customWidth="1"/>
    <col min="15384" max="15384" width="4" style="2" customWidth="1"/>
    <col min="15385" max="15636" width="7.6640625" style="2" customWidth="1"/>
    <col min="15637" max="15637" width="14.33203125" style="2" customWidth="1"/>
    <col min="15638" max="15638" width="4" style="2" customWidth="1"/>
    <col min="15639" max="15639" width="14.33203125" style="2" customWidth="1"/>
    <col min="15640" max="15640" width="4" style="2" customWidth="1"/>
    <col min="15641" max="15892" width="7.6640625" style="2" customWidth="1"/>
    <col min="15893" max="15893" width="14.33203125" style="2" customWidth="1"/>
    <col min="15894" max="15894" width="4" style="2" customWidth="1"/>
    <col min="15895" max="15895" width="14.33203125" style="2" customWidth="1"/>
    <col min="15896" max="15896" width="4" style="2" customWidth="1"/>
    <col min="15897" max="16148" width="7.6640625" style="2" customWidth="1"/>
    <col min="16149" max="16149" width="14.33203125" style="2" customWidth="1"/>
    <col min="16150" max="16150" width="4" style="2" customWidth="1"/>
    <col min="16151" max="16151" width="14.33203125" style="2" customWidth="1"/>
    <col min="16152" max="16152" width="4" style="2" customWidth="1"/>
    <col min="16153" max="16384" width="7.6640625" style="2" customWidth="1"/>
  </cols>
  <sheetData>
    <row r="1" spans="1:31" ht="15" customHeight="1" x14ac:dyDescent="0.3">
      <c r="A1" s="85"/>
      <c r="B1" s="86"/>
      <c r="C1" s="86"/>
      <c r="D1" s="86"/>
      <c r="E1" s="86"/>
      <c r="F1" s="1"/>
      <c r="G1" s="1"/>
      <c r="H1" s="1"/>
      <c r="I1" s="1"/>
      <c r="J1" s="1"/>
      <c r="K1" s="1"/>
      <c r="L1" s="1"/>
      <c r="M1" s="1"/>
      <c r="N1" s="1"/>
      <c r="O1" s="1"/>
      <c r="P1" s="1"/>
      <c r="Q1" s="1"/>
      <c r="R1" s="1"/>
      <c r="S1" s="1"/>
      <c r="T1" s="1"/>
      <c r="U1" s="1"/>
      <c r="V1" s="1"/>
      <c r="W1" s="1"/>
      <c r="X1" s="1"/>
      <c r="Y1" s="1"/>
      <c r="Z1" s="1"/>
    </row>
    <row r="2" spans="1:31" ht="15" customHeight="1" x14ac:dyDescent="0.3">
      <c r="A2" s="3"/>
      <c r="B2" s="589" t="s">
        <v>84</v>
      </c>
      <c r="C2" s="10"/>
      <c r="D2" s="10"/>
      <c r="E2" s="10"/>
      <c r="F2" s="3"/>
      <c r="G2" s="3"/>
      <c r="H2" s="3"/>
      <c r="I2" s="3"/>
      <c r="J2" s="3"/>
      <c r="K2" s="3"/>
      <c r="L2" s="3"/>
      <c r="M2" s="3"/>
      <c r="N2" s="3"/>
      <c r="O2" s="3"/>
      <c r="P2" s="3"/>
      <c r="Q2" s="3"/>
      <c r="R2" s="3"/>
      <c r="S2" s="3"/>
      <c r="T2" s="3"/>
      <c r="U2" s="3"/>
      <c r="V2" s="3"/>
      <c r="W2" s="3"/>
      <c r="X2" s="3"/>
      <c r="Y2" s="3"/>
      <c r="Z2" s="3"/>
      <c r="AD2" s="16"/>
      <c r="AE2" s="16"/>
    </row>
    <row r="3" spans="1:31" ht="15" customHeight="1" x14ac:dyDescent="0.3">
      <c r="A3" s="3"/>
      <c r="B3" s="615" t="s">
        <v>448</v>
      </c>
      <c r="C3" s="3"/>
      <c r="D3" s="3"/>
      <c r="E3" s="3"/>
      <c r="F3" s="3"/>
      <c r="G3" s="3"/>
      <c r="H3" s="3"/>
      <c r="I3" s="3"/>
      <c r="J3" s="3"/>
      <c r="K3" s="3"/>
      <c r="L3" s="3"/>
      <c r="M3" s="3"/>
      <c r="N3" s="3"/>
      <c r="O3" s="3"/>
      <c r="P3" s="3"/>
      <c r="Q3" s="3"/>
      <c r="R3" s="3"/>
      <c r="S3" s="3"/>
      <c r="T3" s="3"/>
      <c r="U3" s="3"/>
      <c r="V3" s="3"/>
      <c r="W3" s="3"/>
      <c r="X3" s="3"/>
      <c r="Y3" s="3"/>
      <c r="Z3" s="3"/>
      <c r="AD3" s="16"/>
      <c r="AE3" s="16"/>
    </row>
    <row r="4" spans="1:31" ht="14.4" customHeight="1" x14ac:dyDescent="0.3">
      <c r="A4" s="3"/>
      <c r="B4" s="594" t="str">
        <f>Overview!$B$7</f>
        <v>Grove Park Drive</v>
      </c>
      <c r="C4" s="3"/>
      <c r="D4" s="3"/>
      <c r="E4" s="3"/>
      <c r="F4" s="3"/>
      <c r="G4" s="3"/>
      <c r="H4" s="3"/>
      <c r="I4" s="3"/>
      <c r="J4" s="3"/>
      <c r="K4" s="3"/>
      <c r="L4" s="3"/>
      <c r="M4" s="3"/>
      <c r="N4" s="3"/>
      <c r="O4" s="3"/>
      <c r="P4" s="3"/>
      <c r="Q4" s="3"/>
      <c r="R4" s="3"/>
      <c r="S4" s="3"/>
      <c r="T4" s="3"/>
      <c r="U4" s="3"/>
      <c r="V4" s="3"/>
      <c r="W4" s="3"/>
      <c r="X4" s="3"/>
      <c r="Y4" s="3"/>
      <c r="Z4" s="3"/>
      <c r="AE4" s="16"/>
    </row>
    <row r="5" spans="1:31" ht="14.4" customHeight="1" x14ac:dyDescent="0.3">
      <c r="A5" s="3"/>
      <c r="B5" s="594"/>
      <c r="C5" s="3"/>
      <c r="D5" s="3"/>
      <c r="E5" s="3"/>
      <c r="F5" s="3"/>
      <c r="G5" s="3"/>
      <c r="H5" s="3"/>
      <c r="I5" s="3"/>
      <c r="J5" s="3"/>
      <c r="K5" s="3"/>
      <c r="L5" s="3"/>
      <c r="M5" s="3"/>
      <c r="N5" s="3"/>
      <c r="O5" s="3"/>
      <c r="P5" s="3"/>
      <c r="Q5" s="3"/>
      <c r="R5" s="3"/>
      <c r="S5" s="3"/>
      <c r="T5" s="3"/>
      <c r="U5" s="3"/>
      <c r="V5" s="3"/>
      <c r="W5" s="3"/>
      <c r="X5" s="3"/>
      <c r="Y5" s="3"/>
      <c r="Z5" s="3"/>
      <c r="AE5" s="16"/>
    </row>
    <row r="6" spans="1:31" ht="15" customHeight="1" x14ac:dyDescent="0.3">
      <c r="A6" s="3"/>
      <c r="B6" s="12" t="s">
        <v>115</v>
      </c>
      <c r="C6" s="3"/>
      <c r="D6" s="3"/>
      <c r="E6" s="3"/>
      <c r="F6" s="3"/>
      <c r="G6" s="3"/>
      <c r="H6" s="3"/>
      <c r="I6" s="3"/>
      <c r="J6" s="3"/>
      <c r="K6" s="3"/>
      <c r="L6" s="3"/>
      <c r="M6" s="3"/>
      <c r="N6" s="3"/>
      <c r="O6" s="3"/>
      <c r="P6" s="3"/>
      <c r="Q6" s="3"/>
      <c r="R6" s="3"/>
      <c r="S6" s="3"/>
      <c r="T6" s="3"/>
      <c r="U6" s="3"/>
      <c r="V6" s="3"/>
      <c r="W6" s="3"/>
      <c r="X6" s="3"/>
      <c r="Y6" s="3"/>
      <c r="Z6" s="3"/>
      <c r="AE6" s="16"/>
    </row>
    <row r="7" spans="1:31" ht="15" customHeight="1" x14ac:dyDescent="0.3">
      <c r="A7" s="3"/>
      <c r="B7" s="112" t="s">
        <v>113</v>
      </c>
      <c r="C7" s="3"/>
      <c r="D7" s="3"/>
      <c r="E7" s="3"/>
      <c r="F7" s="3"/>
      <c r="G7" s="3"/>
      <c r="H7" s="3"/>
      <c r="I7" s="3"/>
      <c r="J7" s="3"/>
      <c r="K7" s="3"/>
      <c r="L7" s="3"/>
      <c r="M7" s="22"/>
      <c r="N7" s="3"/>
      <c r="O7" s="3"/>
      <c r="P7" s="3"/>
      <c r="Q7" s="3"/>
      <c r="R7" s="3"/>
      <c r="S7" s="22"/>
      <c r="T7" s="3"/>
      <c r="U7" s="3"/>
      <c r="V7" s="3"/>
      <c r="W7" s="3"/>
      <c r="X7" s="3"/>
      <c r="Y7" s="3"/>
      <c r="Z7" s="3"/>
      <c r="AE7" s="16"/>
    </row>
    <row r="8" spans="1:31" ht="15" customHeight="1" x14ac:dyDescent="0.3">
      <c r="A8" s="3"/>
      <c r="B8" s="14"/>
      <c r="C8" s="1350" t="s">
        <v>37</v>
      </c>
      <c r="D8" s="1350"/>
      <c r="E8" s="1350"/>
      <c r="F8" s="1350"/>
      <c r="G8" s="1350"/>
      <c r="H8" s="1350"/>
      <c r="I8" s="1351"/>
      <c r="J8" s="1202" t="s">
        <v>90</v>
      </c>
      <c r="K8" s="1354"/>
      <c r="L8" s="1355"/>
      <c r="M8" s="1202" t="s">
        <v>91</v>
      </c>
      <c r="N8" s="1354"/>
      <c r="O8" s="1355"/>
      <c r="P8" s="1202" t="s">
        <v>92</v>
      </c>
      <c r="Q8" s="1354"/>
      <c r="R8" s="1355"/>
      <c r="S8" s="1202" t="s">
        <v>93</v>
      </c>
      <c r="T8" s="1354"/>
      <c r="U8" s="1355"/>
      <c r="V8" s="1202" t="s">
        <v>94</v>
      </c>
      <c r="W8" s="1354"/>
      <c r="X8" s="1354"/>
      <c r="Y8" s="685"/>
      <c r="Z8" s="3"/>
      <c r="AE8" s="16"/>
    </row>
    <row r="9" spans="1:31" ht="15" customHeight="1" thickBot="1" x14ac:dyDescent="0.35">
      <c r="A9" s="3"/>
      <c r="B9" s="3"/>
      <c r="C9" s="1352"/>
      <c r="D9" s="1352"/>
      <c r="E9" s="1352"/>
      <c r="F9" s="1352"/>
      <c r="G9" s="1352"/>
      <c r="H9" s="1352"/>
      <c r="I9" s="1353"/>
      <c r="J9" s="1356"/>
      <c r="K9" s="1061"/>
      <c r="L9" s="1057"/>
      <c r="M9" s="1356"/>
      <c r="N9" s="1061"/>
      <c r="O9" s="1057"/>
      <c r="P9" s="1356"/>
      <c r="Q9" s="1061"/>
      <c r="R9" s="1057"/>
      <c r="S9" s="1356"/>
      <c r="T9" s="1061"/>
      <c r="U9" s="1057"/>
      <c r="V9" s="1356"/>
      <c r="W9" s="1061"/>
      <c r="X9" s="1061"/>
      <c r="Y9" s="685"/>
      <c r="Z9" s="3"/>
      <c r="AE9" s="16"/>
    </row>
    <row r="10" spans="1:31" ht="15" customHeight="1" x14ac:dyDescent="0.3">
      <c r="A10" s="3"/>
      <c r="B10" s="3"/>
      <c r="C10" s="1334" t="s">
        <v>85</v>
      </c>
      <c r="D10" s="1334"/>
      <c r="E10" s="1334"/>
      <c r="F10" s="1334"/>
      <c r="G10" s="1334"/>
      <c r="H10" s="1334"/>
      <c r="I10" s="1335"/>
      <c r="J10" s="1336">
        <f>'Scheme Entry - Baseline'!W25</f>
        <v>4100</v>
      </c>
      <c r="K10" s="1337"/>
      <c r="L10" s="1338"/>
      <c r="M10" s="1339"/>
      <c r="N10" s="1340"/>
      <c r="O10" s="1341"/>
      <c r="P10" s="1488">
        <f>((('Scheme Entry - Baseline'!$W$46*1000)/('Sensitivity 1'!$H$8))*Overview!E29)*('Sensitivity 1'!$H$10/1000)*J10</f>
        <v>1126767.8571428573</v>
      </c>
      <c r="Q10" s="1489"/>
      <c r="R10" s="1490"/>
      <c r="S10" s="1345">
        <f>'Sensitivity 1'!H26</f>
        <v>0.09</v>
      </c>
      <c r="T10" s="1346"/>
      <c r="U10" s="1347"/>
      <c r="V10" s="1348">
        <f>P10*S10</f>
        <v>101409.10714285714</v>
      </c>
      <c r="W10" s="1349"/>
      <c r="X10" s="1349"/>
      <c r="Y10" s="111"/>
      <c r="Z10" s="3"/>
      <c r="AB10" s="66"/>
      <c r="AE10" s="16"/>
    </row>
    <row r="11" spans="1:31" ht="15" customHeight="1" x14ac:dyDescent="0.3">
      <c r="A11" s="3"/>
      <c r="B11" s="3"/>
      <c r="C11" s="1373" t="s">
        <v>86</v>
      </c>
      <c r="D11" s="1373"/>
      <c r="E11" s="1373"/>
      <c r="F11" s="1373"/>
      <c r="G11" s="1373"/>
      <c r="H11" s="1374" t="s">
        <v>87</v>
      </c>
      <c r="I11" s="1375"/>
      <c r="J11" s="1376">
        <v>0</v>
      </c>
      <c r="K11" s="1377"/>
      <c r="L11" s="1378"/>
      <c r="M11" s="1379"/>
      <c r="N11" s="1380"/>
      <c r="O11" s="1381"/>
      <c r="P11" s="1368">
        <f>((('Scheme Entry - Baseline'!$W$46*1000)/('Scheme Entry - Baseline'!$W$9))*2)*'Scheme Entry - Baseline'!$W$11*J11*M11</f>
        <v>0</v>
      </c>
      <c r="Q11" s="1369"/>
      <c r="R11" s="1370"/>
      <c r="S11" s="1492">
        <f>S10</f>
        <v>0.09</v>
      </c>
      <c r="T11" s="1377"/>
      <c r="U11" s="1378"/>
      <c r="V11" s="1357">
        <f>P11*S11</f>
        <v>0</v>
      </c>
      <c r="W11" s="1358"/>
      <c r="X11" s="1358"/>
      <c r="Y11" s="686"/>
      <c r="Z11" s="3"/>
      <c r="AE11" s="16"/>
    </row>
    <row r="12" spans="1:31" ht="15" customHeight="1" x14ac:dyDescent="0.3">
      <c r="A12" s="3"/>
      <c r="B12" s="3"/>
      <c r="C12" s="1359"/>
      <c r="D12" s="1359"/>
      <c r="E12" s="1359"/>
      <c r="F12" s="1359"/>
      <c r="G12" s="1359"/>
      <c r="H12" s="1360" t="s">
        <v>88</v>
      </c>
      <c r="I12" s="1361"/>
      <c r="J12" s="1362">
        <v>0</v>
      </c>
      <c r="K12" s="1363"/>
      <c r="L12" s="1364"/>
      <c r="M12" s="1365"/>
      <c r="N12" s="1366"/>
      <c r="O12" s="1367"/>
      <c r="P12" s="1368">
        <f>((('Scheme Entry - Baseline'!$W$46*1000)/('Scheme Entry - Baseline'!$W$9))*2)*'Scheme Entry - Baseline'!$W$11*J12*M12</f>
        <v>0</v>
      </c>
      <c r="Q12" s="1369"/>
      <c r="R12" s="1370"/>
      <c r="S12" s="1491">
        <f>S10</f>
        <v>0.09</v>
      </c>
      <c r="T12" s="1363"/>
      <c r="U12" s="1364"/>
      <c r="V12" s="1371">
        <f>P12*S12</f>
        <v>0</v>
      </c>
      <c r="W12" s="1372"/>
      <c r="X12" s="1372"/>
      <c r="Y12" s="686"/>
      <c r="Z12" s="3"/>
      <c r="AE12" s="16"/>
    </row>
    <row r="13" spans="1:31" ht="15" customHeight="1" thickBot="1" x14ac:dyDescent="0.35">
      <c r="A13" s="3"/>
      <c r="B13" s="3"/>
      <c r="C13" s="1387"/>
      <c r="D13" s="1387"/>
      <c r="E13" s="1387"/>
      <c r="F13" s="1387"/>
      <c r="G13" s="1387"/>
      <c r="H13" s="1387"/>
      <c r="I13" s="1388"/>
      <c r="J13" s="1389">
        <f>SUM(J11:L12)</f>
        <v>0</v>
      </c>
      <c r="K13" s="1390"/>
      <c r="L13" s="1391"/>
      <c r="M13" s="1392"/>
      <c r="N13" s="1393"/>
      <c r="O13" s="1394"/>
      <c r="P13" s="1395">
        <f>P10</f>
        <v>1126767.8571428573</v>
      </c>
      <c r="Q13" s="1396"/>
      <c r="R13" s="1397"/>
      <c r="S13" s="1392"/>
      <c r="T13" s="1393"/>
      <c r="U13" s="1394"/>
      <c r="V13" s="1385">
        <f>V10</f>
        <v>101409.10714285714</v>
      </c>
      <c r="W13" s="1386"/>
      <c r="X13" s="1386"/>
      <c r="Y13" s="111"/>
      <c r="Z13" s="3"/>
      <c r="AE13" s="16"/>
    </row>
    <row r="14" spans="1:31" ht="15" customHeight="1" x14ac:dyDescent="0.3">
      <c r="A14" s="3"/>
      <c r="B14" s="3"/>
      <c r="C14" s="496"/>
      <c r="D14" s="496"/>
      <c r="E14" s="496"/>
      <c r="F14" s="496"/>
      <c r="G14" s="496"/>
      <c r="H14" s="496"/>
      <c r="I14" s="496"/>
      <c r="J14" s="496"/>
      <c r="K14" s="496"/>
      <c r="L14" s="496"/>
      <c r="M14" s="496"/>
      <c r="N14" s="496"/>
      <c r="O14" s="496"/>
      <c r="P14" s="496"/>
      <c r="Q14" s="496"/>
      <c r="R14" s="496"/>
      <c r="S14" s="496"/>
      <c r="T14" s="496"/>
      <c r="U14" s="496"/>
      <c r="V14" s="496"/>
      <c r="W14" s="496"/>
      <c r="X14" s="496"/>
      <c r="Y14" s="677"/>
      <c r="Z14" s="3"/>
      <c r="AD14" s="16"/>
      <c r="AE14" s="16"/>
    </row>
    <row r="15" spans="1:31" ht="15" customHeight="1" x14ac:dyDescent="0.3">
      <c r="A15" s="3"/>
      <c r="B15" s="12" t="s">
        <v>116</v>
      </c>
      <c r="C15" s="3"/>
      <c r="D15" s="3"/>
      <c r="E15" s="3"/>
      <c r="F15" s="3"/>
      <c r="G15" s="3"/>
      <c r="H15" s="3"/>
      <c r="I15" s="727"/>
      <c r="J15" s="3"/>
      <c r="L15" s="3"/>
      <c r="M15" s="3"/>
      <c r="N15" s="3"/>
      <c r="O15" s="3"/>
      <c r="P15" s="738"/>
      <c r="Q15" s="3"/>
      <c r="R15" s="3"/>
      <c r="S15" s="3"/>
      <c r="T15" s="3"/>
      <c r="U15" s="3"/>
      <c r="V15" s="3"/>
      <c r="W15" s="3"/>
      <c r="X15" s="3"/>
      <c r="Y15" s="3"/>
      <c r="Z15" s="3"/>
      <c r="AD15" s="16"/>
      <c r="AE15" s="16"/>
    </row>
    <row r="16" spans="1:31" ht="15" customHeight="1" x14ac:dyDescent="0.3">
      <c r="A16" s="3"/>
      <c r="B16" s="113" t="s">
        <v>114</v>
      </c>
      <c r="C16" s="3"/>
      <c r="D16" s="3"/>
      <c r="E16" s="3"/>
      <c r="F16" s="3"/>
      <c r="G16" s="3"/>
      <c r="H16" s="3"/>
      <c r="I16" s="727"/>
      <c r="J16" s="3"/>
      <c r="K16" s="3"/>
      <c r="L16" s="3"/>
      <c r="M16" s="22"/>
      <c r="N16" s="3"/>
      <c r="O16" s="3"/>
      <c r="P16" s="3"/>
      <c r="Q16" s="3"/>
      <c r="R16" s="3"/>
      <c r="S16" s="3"/>
      <c r="T16" s="3"/>
      <c r="U16" s="3"/>
      <c r="V16" s="3"/>
      <c r="W16" s="3"/>
      <c r="X16" s="3"/>
      <c r="Y16" s="3"/>
      <c r="Z16" s="3"/>
      <c r="AD16" s="16"/>
      <c r="AE16" s="16"/>
    </row>
    <row r="17" spans="1:26" ht="15" customHeight="1" x14ac:dyDescent="0.3">
      <c r="A17" s="3"/>
      <c r="B17" s="14"/>
      <c r="C17" s="1350" t="s">
        <v>37</v>
      </c>
      <c r="D17" s="1350"/>
      <c r="E17" s="1350"/>
      <c r="F17" s="1350"/>
      <c r="G17" s="1350"/>
      <c r="H17" s="1350"/>
      <c r="I17" s="1351"/>
      <c r="J17" s="1202" t="s">
        <v>90</v>
      </c>
      <c r="K17" s="1354"/>
      <c r="L17" s="1355"/>
      <c r="M17" s="1202" t="s">
        <v>91</v>
      </c>
      <c r="N17" s="1354"/>
      <c r="O17" s="1355"/>
      <c r="P17" s="1202" t="s">
        <v>92</v>
      </c>
      <c r="Q17" s="1354"/>
      <c r="R17" s="1355"/>
      <c r="S17" s="1202" t="s">
        <v>93</v>
      </c>
      <c r="T17" s="1354"/>
      <c r="U17" s="1355"/>
      <c r="V17" s="1202" t="s">
        <v>94</v>
      </c>
      <c r="W17" s="1354"/>
      <c r="X17" s="1354"/>
      <c r="Y17" s="685"/>
      <c r="Z17" s="3"/>
    </row>
    <row r="18" spans="1:26" ht="15" customHeight="1" thickBot="1" x14ac:dyDescent="0.35">
      <c r="A18" s="3"/>
      <c r="B18" s="3"/>
      <c r="C18" s="1352"/>
      <c r="D18" s="1352"/>
      <c r="E18" s="1352"/>
      <c r="F18" s="1352"/>
      <c r="G18" s="1352"/>
      <c r="H18" s="1352"/>
      <c r="I18" s="1353"/>
      <c r="J18" s="1356"/>
      <c r="K18" s="1061"/>
      <c r="L18" s="1057"/>
      <c r="M18" s="1356"/>
      <c r="N18" s="1061"/>
      <c r="O18" s="1057"/>
      <c r="P18" s="1356"/>
      <c r="Q18" s="1061"/>
      <c r="R18" s="1057"/>
      <c r="S18" s="1356"/>
      <c r="T18" s="1061"/>
      <c r="U18" s="1057"/>
      <c r="V18" s="1356"/>
      <c r="W18" s="1061"/>
      <c r="X18" s="1061"/>
      <c r="Y18" s="685"/>
      <c r="Z18" s="3"/>
    </row>
    <row r="19" spans="1:26" ht="15" customHeight="1" x14ac:dyDescent="0.3">
      <c r="A19" s="3"/>
      <c r="B19" s="3"/>
      <c r="C19" s="1426" t="s">
        <v>85</v>
      </c>
      <c r="D19" s="1426"/>
      <c r="E19" s="1426"/>
      <c r="F19" s="1426"/>
      <c r="G19" s="1426"/>
      <c r="H19" s="1426"/>
      <c r="I19" s="1427"/>
      <c r="J19" s="1406">
        <v>4100</v>
      </c>
      <c r="K19" s="1407"/>
      <c r="L19" s="1408"/>
      <c r="M19" s="1400"/>
      <c r="N19" s="1401"/>
      <c r="O19" s="1402"/>
      <c r="P19" s="1342">
        <f>P10</f>
        <v>1126767.8571428573</v>
      </c>
      <c r="Q19" s="1343"/>
      <c r="R19" s="1344"/>
      <c r="S19" s="1493">
        <f>S10</f>
        <v>0.09</v>
      </c>
      <c r="T19" s="1407"/>
      <c r="U19" s="1408"/>
      <c r="V19" s="1409">
        <f>P19*S19</f>
        <v>101409.10714285714</v>
      </c>
      <c r="W19" s="1410"/>
      <c r="X19" s="1410"/>
      <c r="Y19" s="736"/>
      <c r="Z19" s="3"/>
    </row>
    <row r="20" spans="1:26" ht="15" customHeight="1" x14ac:dyDescent="0.3">
      <c r="A20" s="3"/>
      <c r="B20" s="3"/>
      <c r="C20" s="1411" t="s">
        <v>86</v>
      </c>
      <c r="D20" s="1411"/>
      <c r="E20" s="1411"/>
      <c r="F20" s="1411"/>
      <c r="G20" s="1411"/>
      <c r="H20" s="1412" t="s">
        <v>87</v>
      </c>
      <c r="I20" s="1413"/>
      <c r="J20" s="1414">
        <f>J19*54%</f>
        <v>2214</v>
      </c>
      <c r="K20" s="1415"/>
      <c r="L20" s="1416"/>
      <c r="M20" s="1417"/>
      <c r="N20" s="1418"/>
      <c r="O20" s="1419"/>
      <c r="P20" s="1420">
        <f>((('Scheme Entry - Baseline'!$W$46*1000)/('Scheme Entry - Baseline'!$W$9))*Overview!$E$29)*('Scheme Entry - Baseline'!$W$11/1000)*J20</f>
        <v>608454.64285714296</v>
      </c>
      <c r="Q20" s="1421"/>
      <c r="R20" s="1422"/>
      <c r="S20" s="1498">
        <f>S10</f>
        <v>0.09</v>
      </c>
      <c r="T20" s="1424"/>
      <c r="U20" s="1425"/>
      <c r="V20" s="1428">
        <f>P20*S20</f>
        <v>54760.917857142864</v>
      </c>
      <c r="W20" s="1429"/>
      <c r="X20" s="1429"/>
      <c r="Y20" s="690"/>
      <c r="Z20" s="3"/>
    </row>
    <row r="21" spans="1:26" ht="15" customHeight="1" x14ac:dyDescent="0.3">
      <c r="A21" s="3"/>
      <c r="B21" s="3"/>
      <c r="C21" s="1430"/>
      <c r="D21" s="1430"/>
      <c r="E21" s="1430"/>
      <c r="F21" s="1430"/>
      <c r="G21" s="1430"/>
      <c r="H21" s="1052" t="s">
        <v>88</v>
      </c>
      <c r="I21" s="1431"/>
      <c r="J21" s="1432">
        <f>J19*46%</f>
        <v>1886</v>
      </c>
      <c r="K21" s="1433"/>
      <c r="L21" s="1434"/>
      <c r="M21" s="1435">
        <v>0.25</v>
      </c>
      <c r="N21" s="1436"/>
      <c r="O21" s="1437"/>
      <c r="P21" s="1494">
        <f>((('Scheme Entry - Baseline'!$W$46*1000)/('Scheme Entry - Baseline'!$W$9))*Overview!$E$29)*('Scheme Entry - Baseline'!$W$11*J21/1000)*(100%-M21)</f>
        <v>388734.91071428568</v>
      </c>
      <c r="Q21" s="1495"/>
      <c r="R21" s="1496"/>
      <c r="S21" s="1497">
        <f>S10</f>
        <v>0.09</v>
      </c>
      <c r="T21" s="1442"/>
      <c r="U21" s="1443"/>
      <c r="V21" s="1444">
        <f>P21*S21</f>
        <v>34986.141964285707</v>
      </c>
      <c r="W21" s="1445"/>
      <c r="X21" s="1445"/>
      <c r="Y21" s="690"/>
      <c r="Z21" s="3"/>
    </row>
    <row r="22" spans="1:26" ht="15" customHeight="1" thickBot="1" x14ac:dyDescent="0.35">
      <c r="A22" s="3"/>
      <c r="B22" s="3"/>
      <c r="C22" s="1387"/>
      <c r="D22" s="1387"/>
      <c r="E22" s="1387"/>
      <c r="F22" s="1387"/>
      <c r="G22" s="1387"/>
      <c r="H22" s="1387"/>
      <c r="I22" s="1387"/>
      <c r="J22" s="1389">
        <f>SUM(J20:L21)</f>
        <v>4100</v>
      </c>
      <c r="K22" s="1390"/>
      <c r="L22" s="1391"/>
      <c r="M22" s="1392"/>
      <c r="N22" s="1393"/>
      <c r="O22" s="1394"/>
      <c r="P22" s="1395">
        <f>SUM(P20:R21)</f>
        <v>997189.55357142864</v>
      </c>
      <c r="Q22" s="1396"/>
      <c r="R22" s="1397"/>
      <c r="S22" s="1392"/>
      <c r="T22" s="1393"/>
      <c r="U22" s="1394"/>
      <c r="V22" s="1385">
        <f>SUM(V20:X21)</f>
        <v>89747.059821428571</v>
      </c>
      <c r="W22" s="1386"/>
      <c r="X22" s="1386"/>
      <c r="Y22" s="111"/>
      <c r="Z22" s="3"/>
    </row>
    <row r="23" spans="1:26" ht="15" customHeight="1" x14ac:dyDescent="0.3">
      <c r="A23" s="3"/>
      <c r="B23" s="3"/>
      <c r="C23" s="931"/>
      <c r="D23" s="931"/>
      <c r="E23" s="931"/>
      <c r="F23" s="931"/>
      <c r="G23" s="931"/>
      <c r="H23" s="931"/>
      <c r="I23" s="931"/>
      <c r="J23" s="931"/>
      <c r="K23" s="931"/>
      <c r="L23" s="931"/>
      <c r="M23" s="931"/>
      <c r="N23" s="931"/>
      <c r="O23" s="931"/>
      <c r="P23" s="931"/>
      <c r="Q23" s="931"/>
      <c r="R23" s="931"/>
      <c r="S23" s="931"/>
      <c r="T23" s="931"/>
      <c r="U23" s="931"/>
      <c r="V23" s="931"/>
      <c r="W23" s="931"/>
      <c r="X23" s="931"/>
      <c r="Y23" s="677"/>
      <c r="Z23" s="3"/>
    </row>
    <row r="24" spans="1:26" ht="15" customHeight="1" x14ac:dyDescent="0.3">
      <c r="A24" s="3"/>
      <c r="B24" s="113" t="s">
        <v>117</v>
      </c>
      <c r="C24" s="3"/>
      <c r="D24" s="3"/>
      <c r="E24" s="3"/>
      <c r="F24" s="3"/>
      <c r="G24" s="3"/>
      <c r="H24" s="3"/>
      <c r="I24" s="3"/>
      <c r="J24" s="3"/>
      <c r="K24" s="3"/>
      <c r="L24" s="3"/>
      <c r="M24" s="22"/>
      <c r="N24" s="3"/>
      <c r="O24" s="3"/>
      <c r="P24" s="3"/>
      <c r="Q24" s="3"/>
      <c r="R24" s="3"/>
      <c r="S24" s="3"/>
      <c r="T24" s="3"/>
      <c r="U24" s="3"/>
      <c r="V24" s="3"/>
      <c r="W24" s="3"/>
      <c r="X24" s="3"/>
      <c r="Y24" s="3"/>
      <c r="Z24" s="3"/>
    </row>
    <row r="25" spans="1:26" ht="15" customHeight="1" x14ac:dyDescent="0.3">
      <c r="A25" s="3"/>
      <c r="B25" s="14"/>
      <c r="C25" s="1350" t="s">
        <v>37</v>
      </c>
      <c r="D25" s="1350"/>
      <c r="E25" s="1350"/>
      <c r="F25" s="1350"/>
      <c r="G25" s="1350"/>
      <c r="H25" s="1350"/>
      <c r="I25" s="1351"/>
      <c r="J25" s="1202" t="s">
        <v>90</v>
      </c>
      <c r="K25" s="1354"/>
      <c r="L25" s="1355"/>
      <c r="M25" s="1202" t="s">
        <v>91</v>
      </c>
      <c r="N25" s="1354"/>
      <c r="O25" s="1355"/>
      <c r="P25" s="1202" t="s">
        <v>92</v>
      </c>
      <c r="Q25" s="1354"/>
      <c r="R25" s="1355"/>
      <c r="S25" s="1202" t="s">
        <v>93</v>
      </c>
      <c r="T25" s="1354"/>
      <c r="U25" s="1355"/>
      <c r="V25" s="1202" t="s">
        <v>94</v>
      </c>
      <c r="W25" s="1354"/>
      <c r="X25" s="1354"/>
      <c r="Y25" s="685"/>
      <c r="Z25" s="3"/>
    </row>
    <row r="26" spans="1:26" ht="15" customHeight="1" thickBot="1" x14ac:dyDescent="0.35">
      <c r="A26" s="3"/>
      <c r="B26" s="3"/>
      <c r="C26" s="1352"/>
      <c r="D26" s="1352"/>
      <c r="E26" s="1352"/>
      <c r="F26" s="1352"/>
      <c r="G26" s="1352"/>
      <c r="H26" s="1352"/>
      <c r="I26" s="1353"/>
      <c r="J26" s="1356"/>
      <c r="K26" s="1061"/>
      <c r="L26" s="1057"/>
      <c r="M26" s="1356"/>
      <c r="N26" s="1061"/>
      <c r="O26" s="1057"/>
      <c r="P26" s="1356"/>
      <c r="Q26" s="1061"/>
      <c r="R26" s="1057"/>
      <c r="S26" s="1356"/>
      <c r="T26" s="1061"/>
      <c r="U26" s="1057"/>
      <c r="V26" s="1356"/>
      <c r="W26" s="1061"/>
      <c r="X26" s="1061"/>
      <c r="Y26" s="685"/>
      <c r="Z26" s="3"/>
    </row>
    <row r="27" spans="1:26" ht="15" customHeight="1" x14ac:dyDescent="0.3">
      <c r="A27" s="3"/>
      <c r="B27" s="3"/>
      <c r="C27" s="1426" t="s">
        <v>85</v>
      </c>
      <c r="D27" s="1426"/>
      <c r="E27" s="1426"/>
      <c r="F27" s="1426"/>
      <c r="G27" s="1426"/>
      <c r="H27" s="1426"/>
      <c r="I27" s="1427"/>
      <c r="J27" s="1406">
        <v>4100</v>
      </c>
      <c r="K27" s="1407"/>
      <c r="L27" s="1408"/>
      <c r="M27" s="1400"/>
      <c r="N27" s="1401"/>
      <c r="O27" s="1402"/>
      <c r="P27" s="1342">
        <f>P10</f>
        <v>1126767.8571428573</v>
      </c>
      <c r="Q27" s="1343"/>
      <c r="R27" s="1344"/>
      <c r="S27" s="1493">
        <f>S10</f>
        <v>0.09</v>
      </c>
      <c r="T27" s="1407"/>
      <c r="U27" s="1408"/>
      <c r="V27" s="1409">
        <f>P27*S27</f>
        <v>101409.10714285714</v>
      </c>
      <c r="W27" s="1410"/>
      <c r="X27" s="1410"/>
      <c r="Y27" s="736"/>
      <c r="Z27" s="3"/>
    </row>
    <row r="28" spans="1:26" ht="15" customHeight="1" x14ac:dyDescent="0.3">
      <c r="A28" s="3"/>
      <c r="B28" s="3"/>
      <c r="C28" s="1411" t="s">
        <v>86</v>
      </c>
      <c r="D28" s="1411"/>
      <c r="E28" s="1411"/>
      <c r="F28" s="1411"/>
      <c r="G28" s="1411"/>
      <c r="H28" s="1412" t="s">
        <v>87</v>
      </c>
      <c r="I28" s="1413"/>
      <c r="J28" s="1452">
        <f>J20</f>
        <v>2214</v>
      </c>
      <c r="K28" s="1453"/>
      <c r="L28" s="1454"/>
      <c r="M28" s="1417"/>
      <c r="N28" s="1418"/>
      <c r="O28" s="1419"/>
      <c r="P28" s="1420">
        <f>((('Scheme Entry - Baseline'!$W$46*1000)/('Scheme Entry - Baseline'!$W$9))*Overview!$E$29)*('Scheme Entry - Baseline'!$W$11/1000)*J28</f>
        <v>608454.64285714296</v>
      </c>
      <c r="Q28" s="1421"/>
      <c r="R28" s="1422"/>
      <c r="S28" s="1498">
        <f>S10</f>
        <v>0.09</v>
      </c>
      <c r="T28" s="1424"/>
      <c r="U28" s="1425"/>
      <c r="V28" s="1428">
        <f>P28*S28</f>
        <v>54760.917857142864</v>
      </c>
      <c r="W28" s="1429"/>
      <c r="X28" s="1429"/>
      <c r="Y28" s="690"/>
      <c r="Z28" s="3"/>
    </row>
    <row r="29" spans="1:26" ht="15" customHeight="1" x14ac:dyDescent="0.3">
      <c r="A29" s="3"/>
      <c r="B29" s="3"/>
      <c r="C29" s="1430"/>
      <c r="D29" s="1430"/>
      <c r="E29" s="1430"/>
      <c r="F29" s="1430"/>
      <c r="G29" s="1430"/>
      <c r="H29" s="1052" t="s">
        <v>88</v>
      </c>
      <c r="I29" s="1431"/>
      <c r="J29" s="1449">
        <f>J21</f>
        <v>1886</v>
      </c>
      <c r="K29" s="1450"/>
      <c r="L29" s="1451"/>
      <c r="M29" s="1435">
        <v>0.33</v>
      </c>
      <c r="N29" s="1436"/>
      <c r="O29" s="1437"/>
      <c r="P29" s="1438">
        <f>((('Scheme Entry - Baseline'!$W$46*1000)/('Scheme Entry - Baseline'!$W$9))*Overview!$E$29)*('Scheme Entry - Baseline'!$W$11*J29/1000)*(100%-M29)</f>
        <v>347269.85357142845</v>
      </c>
      <c r="Q29" s="1439"/>
      <c r="R29" s="1440"/>
      <c r="S29" s="1497">
        <f>S10</f>
        <v>0.09</v>
      </c>
      <c r="T29" s="1442"/>
      <c r="U29" s="1443"/>
      <c r="V29" s="1444">
        <f>P29*S29</f>
        <v>31254.286821428559</v>
      </c>
      <c r="W29" s="1445"/>
      <c r="X29" s="1445"/>
      <c r="Y29" s="690"/>
      <c r="Z29" s="3"/>
    </row>
    <row r="30" spans="1:26" ht="15" customHeight="1" thickBot="1" x14ac:dyDescent="0.35">
      <c r="A30" s="3"/>
      <c r="B30" s="3"/>
      <c r="C30" s="1387"/>
      <c r="D30" s="1387"/>
      <c r="E30" s="1387"/>
      <c r="F30" s="1387"/>
      <c r="G30" s="1387"/>
      <c r="H30" s="1387"/>
      <c r="I30" s="1388"/>
      <c r="J30" s="1446">
        <f>SUM(J28:L29)</f>
        <v>4100</v>
      </c>
      <c r="K30" s="1447"/>
      <c r="L30" s="1448"/>
      <c r="M30" s="1392"/>
      <c r="N30" s="1393"/>
      <c r="O30" s="1394"/>
      <c r="P30" s="1395">
        <f>SUM(P28:R29)</f>
        <v>955724.49642857141</v>
      </c>
      <c r="Q30" s="1396"/>
      <c r="R30" s="1397"/>
      <c r="S30" s="1392"/>
      <c r="T30" s="1393"/>
      <c r="U30" s="1394"/>
      <c r="V30" s="1385">
        <f>SUM(V28:X29)</f>
        <v>86015.204678571419</v>
      </c>
      <c r="W30" s="1386"/>
      <c r="X30" s="1386"/>
      <c r="Y30" s="111"/>
      <c r="Z30" s="3"/>
    </row>
    <row r="31" spans="1:26" ht="15" customHeight="1" x14ac:dyDescent="0.3">
      <c r="A31" s="79"/>
      <c r="B31" s="79"/>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79"/>
    </row>
    <row r="32" spans="1:26" ht="15" customHeight="1" x14ac:dyDescent="0.3">
      <c r="A32" s="15"/>
      <c r="B32" s="15"/>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5"/>
    </row>
    <row r="33" spans="1:26" ht="15" customHeight="1" x14ac:dyDescent="0.3">
      <c r="A33" s="1"/>
      <c r="B33" s="1"/>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
    </row>
    <row r="34" spans="1:26" ht="15" customHeight="1" x14ac:dyDescent="0.3">
      <c r="A34" s="3"/>
      <c r="B34" s="113" t="s">
        <v>118</v>
      </c>
      <c r="C34" s="3"/>
      <c r="D34" s="3"/>
      <c r="E34" s="3"/>
      <c r="F34" s="3"/>
      <c r="G34" s="3"/>
      <c r="H34" s="3"/>
      <c r="I34" s="3"/>
      <c r="J34" s="3"/>
      <c r="K34" s="3"/>
      <c r="L34" s="3"/>
      <c r="M34" s="22"/>
      <c r="N34" s="3"/>
      <c r="O34" s="3"/>
      <c r="P34" s="3"/>
      <c r="Q34" s="3"/>
      <c r="R34" s="3"/>
      <c r="S34" s="3"/>
      <c r="T34" s="3"/>
      <c r="U34" s="3"/>
      <c r="V34" s="3"/>
      <c r="W34" s="3"/>
      <c r="X34" s="3"/>
      <c r="Y34" s="3"/>
      <c r="Z34" s="3"/>
    </row>
    <row r="35" spans="1:26" ht="15" customHeight="1" x14ac:dyDescent="0.3">
      <c r="A35" s="3"/>
      <c r="B35" s="14"/>
      <c r="C35" s="1350" t="s">
        <v>37</v>
      </c>
      <c r="D35" s="1350"/>
      <c r="E35" s="1350"/>
      <c r="F35" s="1350"/>
      <c r="G35" s="1350"/>
      <c r="H35" s="1350"/>
      <c r="I35" s="1351"/>
      <c r="J35" s="1202" t="s">
        <v>90</v>
      </c>
      <c r="K35" s="1354"/>
      <c r="L35" s="1355"/>
      <c r="M35" s="1202" t="s">
        <v>91</v>
      </c>
      <c r="N35" s="1354"/>
      <c r="O35" s="1355"/>
      <c r="P35" s="1202" t="s">
        <v>92</v>
      </c>
      <c r="Q35" s="1354"/>
      <c r="R35" s="1355"/>
      <c r="S35" s="1202" t="s">
        <v>93</v>
      </c>
      <c r="T35" s="1354"/>
      <c r="U35" s="1355"/>
      <c r="V35" s="1202" t="s">
        <v>94</v>
      </c>
      <c r="W35" s="1354"/>
      <c r="X35" s="1354"/>
      <c r="Y35" s="685"/>
      <c r="Z35" s="3"/>
    </row>
    <row r="36" spans="1:26" ht="15" customHeight="1" thickBot="1" x14ac:dyDescent="0.35">
      <c r="A36" s="3"/>
      <c r="B36" s="3"/>
      <c r="C36" s="1352"/>
      <c r="D36" s="1352"/>
      <c r="E36" s="1352"/>
      <c r="F36" s="1352"/>
      <c r="G36" s="1352"/>
      <c r="H36" s="1352"/>
      <c r="I36" s="1353"/>
      <c r="J36" s="1356"/>
      <c r="K36" s="1061"/>
      <c r="L36" s="1057"/>
      <c r="M36" s="1356"/>
      <c r="N36" s="1061"/>
      <c r="O36" s="1057"/>
      <c r="P36" s="1356"/>
      <c r="Q36" s="1061"/>
      <c r="R36" s="1057"/>
      <c r="S36" s="1356"/>
      <c r="T36" s="1061"/>
      <c r="U36" s="1057"/>
      <c r="V36" s="1356"/>
      <c r="W36" s="1061"/>
      <c r="X36" s="1061"/>
      <c r="Y36" s="685"/>
      <c r="Z36" s="3"/>
    </row>
    <row r="37" spans="1:26" ht="15" customHeight="1" x14ac:dyDescent="0.3">
      <c r="A37" s="3"/>
      <c r="B37" s="3"/>
      <c r="C37" s="1426" t="s">
        <v>85</v>
      </c>
      <c r="D37" s="1426"/>
      <c r="E37" s="1426"/>
      <c r="F37" s="1426"/>
      <c r="G37" s="1426"/>
      <c r="H37" s="1426"/>
      <c r="I37" s="1427"/>
      <c r="J37" s="1406">
        <v>4100</v>
      </c>
      <c r="K37" s="1407"/>
      <c r="L37" s="1408"/>
      <c r="M37" s="1400"/>
      <c r="N37" s="1401"/>
      <c r="O37" s="1402"/>
      <c r="P37" s="1342">
        <f>P10</f>
        <v>1126767.8571428573</v>
      </c>
      <c r="Q37" s="1343"/>
      <c r="R37" s="1344"/>
      <c r="S37" s="1493">
        <f>S10</f>
        <v>0.09</v>
      </c>
      <c r="T37" s="1407"/>
      <c r="U37" s="1408"/>
      <c r="V37" s="1409">
        <f>P37*S37</f>
        <v>101409.10714285714</v>
      </c>
      <c r="W37" s="1410"/>
      <c r="X37" s="1410"/>
      <c r="Y37" s="736"/>
      <c r="Z37" s="3"/>
    </row>
    <row r="38" spans="1:26" ht="15" customHeight="1" x14ac:dyDescent="0.3">
      <c r="A38" s="3"/>
      <c r="B38" s="3"/>
      <c r="C38" s="1411" t="s">
        <v>86</v>
      </c>
      <c r="D38" s="1411"/>
      <c r="E38" s="1411"/>
      <c r="F38" s="1411"/>
      <c r="G38" s="1411"/>
      <c r="H38" s="1412" t="s">
        <v>87</v>
      </c>
      <c r="I38" s="1413"/>
      <c r="J38" s="1452">
        <f>J20</f>
        <v>2214</v>
      </c>
      <c r="K38" s="1453"/>
      <c r="L38" s="1454"/>
      <c r="M38" s="1417"/>
      <c r="N38" s="1418"/>
      <c r="O38" s="1419"/>
      <c r="P38" s="1420">
        <f>((('Scheme Entry - Baseline'!$W$46*1000)/('Scheme Entry - Baseline'!$W$9))*Overview!$E$29)*('Scheme Entry - Baseline'!$W$11/1000)*J38</f>
        <v>608454.64285714296</v>
      </c>
      <c r="Q38" s="1421"/>
      <c r="R38" s="1422"/>
      <c r="S38" s="1498">
        <f>S10</f>
        <v>0.09</v>
      </c>
      <c r="T38" s="1424"/>
      <c r="U38" s="1425"/>
      <c r="V38" s="1428">
        <f>P38*S38</f>
        <v>54760.917857142864</v>
      </c>
      <c r="W38" s="1429"/>
      <c r="X38" s="1429"/>
      <c r="Y38" s="690"/>
      <c r="Z38" s="3"/>
    </row>
    <row r="39" spans="1:26" ht="15" customHeight="1" x14ac:dyDescent="0.3">
      <c r="A39" s="3"/>
      <c r="B39" s="3"/>
      <c r="C39" s="1430"/>
      <c r="D39" s="1430"/>
      <c r="E39" s="1430"/>
      <c r="F39" s="1430"/>
      <c r="G39" s="1430"/>
      <c r="H39" s="1052" t="s">
        <v>88</v>
      </c>
      <c r="I39" s="1431"/>
      <c r="J39" s="1449">
        <f>J21</f>
        <v>1886</v>
      </c>
      <c r="K39" s="1450"/>
      <c r="L39" s="1451"/>
      <c r="M39" s="1435">
        <v>0.5</v>
      </c>
      <c r="N39" s="1436"/>
      <c r="O39" s="1437"/>
      <c r="P39" s="1438">
        <f>((('Scheme Entry - Baseline'!$W$46*1000)/('Scheme Entry - Baseline'!$W$9))*Overview!$E$29)*('Scheme Entry - Baseline'!$W$11*J39/1000)*(100%-M39)</f>
        <v>259156.6071428571</v>
      </c>
      <c r="Q39" s="1439"/>
      <c r="R39" s="1440"/>
      <c r="S39" s="1497">
        <f>S10</f>
        <v>0.09</v>
      </c>
      <c r="T39" s="1442"/>
      <c r="U39" s="1443"/>
      <c r="V39" s="1444">
        <f>P39*S39</f>
        <v>23324.094642857137</v>
      </c>
      <c r="W39" s="1445"/>
      <c r="X39" s="1445"/>
      <c r="Y39" s="690"/>
      <c r="Z39" s="3"/>
    </row>
    <row r="40" spans="1:26" ht="15" customHeight="1" thickBot="1" x14ac:dyDescent="0.35">
      <c r="A40" s="3"/>
      <c r="B40" s="3"/>
      <c r="C40" s="1387"/>
      <c r="D40" s="1387"/>
      <c r="E40" s="1387"/>
      <c r="F40" s="1387"/>
      <c r="G40" s="1387"/>
      <c r="H40" s="1387"/>
      <c r="I40" s="1388"/>
      <c r="J40" s="1389">
        <f>SUM(J38:L39)</f>
        <v>4100</v>
      </c>
      <c r="K40" s="1390"/>
      <c r="L40" s="1391"/>
      <c r="M40" s="1392"/>
      <c r="N40" s="1393"/>
      <c r="O40" s="1394"/>
      <c r="P40" s="1395">
        <f>SUM(P38:R39)</f>
        <v>867611.25</v>
      </c>
      <c r="Q40" s="1396"/>
      <c r="R40" s="1397"/>
      <c r="S40" s="1392"/>
      <c r="T40" s="1393"/>
      <c r="U40" s="1394"/>
      <c r="V40" s="1385">
        <f>SUM(V38:X39)</f>
        <v>78085.012499999997</v>
      </c>
      <c r="W40" s="1386"/>
      <c r="X40" s="1386"/>
      <c r="Y40" s="111"/>
      <c r="Z40" s="3"/>
    </row>
    <row r="41" spans="1:26" ht="1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 customHeight="1" x14ac:dyDescent="0.3">
      <c r="A42" s="79"/>
      <c r="B42" s="30" t="s">
        <v>119</v>
      </c>
      <c r="C42" s="3"/>
      <c r="D42" s="3"/>
      <c r="E42" s="3"/>
      <c r="F42" s="3"/>
      <c r="G42" s="3"/>
      <c r="H42" s="3"/>
      <c r="I42" s="3"/>
      <c r="J42" s="3"/>
      <c r="K42" s="3"/>
      <c r="L42" s="3"/>
      <c r="M42" s="3"/>
      <c r="N42" s="3"/>
      <c r="O42" s="3"/>
      <c r="P42" s="3"/>
      <c r="Q42" s="3"/>
      <c r="R42" s="3"/>
      <c r="S42" s="3"/>
      <c r="T42" s="3"/>
      <c r="U42" s="3"/>
      <c r="V42" s="3"/>
      <c r="W42" s="3"/>
      <c r="X42" s="3"/>
      <c r="Y42" s="3"/>
      <c r="Z42" s="3"/>
    </row>
    <row r="43" spans="1:26" ht="15" customHeight="1" x14ac:dyDescent="0.3">
      <c r="A43" s="79"/>
      <c r="B43" s="114" t="s">
        <v>120</v>
      </c>
      <c r="C43" s="3"/>
      <c r="D43" s="3"/>
      <c r="E43" s="3"/>
      <c r="F43" s="3"/>
      <c r="G43" s="3"/>
      <c r="H43" s="3"/>
      <c r="I43" s="3"/>
      <c r="J43" s="3"/>
      <c r="K43" s="3"/>
      <c r="L43" s="3"/>
      <c r="M43" s="22"/>
      <c r="N43" s="3"/>
      <c r="O43" s="3"/>
      <c r="P43" s="3"/>
      <c r="Q43" s="3"/>
      <c r="R43" s="3"/>
      <c r="S43" s="3"/>
      <c r="T43" s="3"/>
      <c r="U43" s="3"/>
      <c r="V43" s="3"/>
      <c r="W43" s="3"/>
      <c r="X43" s="3"/>
      <c r="Y43" s="3"/>
      <c r="Z43" s="3"/>
    </row>
    <row r="44" spans="1:26" ht="15" customHeight="1" x14ac:dyDescent="0.3">
      <c r="A44" s="79"/>
      <c r="B44" s="31"/>
      <c r="C44" s="1350" t="s">
        <v>37</v>
      </c>
      <c r="D44" s="1350"/>
      <c r="E44" s="1350"/>
      <c r="F44" s="1350"/>
      <c r="G44" s="1350"/>
      <c r="H44" s="1350"/>
      <c r="I44" s="1351"/>
      <c r="J44" s="1202" t="s">
        <v>90</v>
      </c>
      <c r="K44" s="1354"/>
      <c r="L44" s="1355"/>
      <c r="M44" s="1202" t="s">
        <v>91</v>
      </c>
      <c r="N44" s="1354"/>
      <c r="O44" s="1355"/>
      <c r="P44" s="1202" t="s">
        <v>92</v>
      </c>
      <c r="Q44" s="1354"/>
      <c r="R44" s="1355"/>
      <c r="S44" s="1202" t="s">
        <v>93</v>
      </c>
      <c r="T44" s="1354"/>
      <c r="U44" s="1355"/>
      <c r="V44" s="1202" t="s">
        <v>94</v>
      </c>
      <c r="W44" s="1354"/>
      <c r="X44" s="1354"/>
      <c r="Y44" s="685"/>
      <c r="Z44" s="3"/>
    </row>
    <row r="45" spans="1:26" ht="15" customHeight="1" thickBot="1" x14ac:dyDescent="0.35">
      <c r="A45" s="79"/>
      <c r="B45" s="79"/>
      <c r="C45" s="1352"/>
      <c r="D45" s="1352"/>
      <c r="E45" s="1352"/>
      <c r="F45" s="1352"/>
      <c r="G45" s="1352"/>
      <c r="H45" s="1352"/>
      <c r="I45" s="1353"/>
      <c r="J45" s="1356"/>
      <c r="K45" s="1061"/>
      <c r="L45" s="1057"/>
      <c r="M45" s="1356"/>
      <c r="N45" s="1061"/>
      <c r="O45" s="1057"/>
      <c r="P45" s="1356"/>
      <c r="Q45" s="1061"/>
      <c r="R45" s="1057"/>
      <c r="S45" s="1356"/>
      <c r="T45" s="1061"/>
      <c r="U45" s="1057"/>
      <c r="V45" s="1356"/>
      <c r="W45" s="1061"/>
      <c r="X45" s="1061"/>
      <c r="Y45" s="685"/>
      <c r="Z45" s="3"/>
    </row>
    <row r="46" spans="1:26" ht="15" customHeight="1" x14ac:dyDescent="0.3">
      <c r="A46" s="79"/>
      <c r="B46" s="79"/>
      <c r="C46" s="1426" t="s">
        <v>85</v>
      </c>
      <c r="D46" s="1426"/>
      <c r="E46" s="1426"/>
      <c r="F46" s="1426"/>
      <c r="G46" s="1426"/>
      <c r="H46" s="1426"/>
      <c r="I46" s="1427"/>
      <c r="J46" s="1406">
        <v>4100</v>
      </c>
      <c r="K46" s="1407"/>
      <c r="L46" s="1408"/>
      <c r="M46" s="1400"/>
      <c r="N46" s="1401"/>
      <c r="O46" s="1402"/>
      <c r="P46" s="1342">
        <f>P10</f>
        <v>1126767.8571428573</v>
      </c>
      <c r="Q46" s="1343"/>
      <c r="R46" s="1344"/>
      <c r="S46" s="1493">
        <f>S10</f>
        <v>0.09</v>
      </c>
      <c r="T46" s="1407"/>
      <c r="U46" s="1408"/>
      <c r="V46" s="1409">
        <f>P46*S46</f>
        <v>101409.10714285714</v>
      </c>
      <c r="W46" s="1410"/>
      <c r="X46" s="1410"/>
      <c r="Y46" s="736"/>
      <c r="Z46" s="3"/>
    </row>
    <row r="47" spans="1:26" ht="15" customHeight="1" x14ac:dyDescent="0.3">
      <c r="A47" s="79"/>
      <c r="B47" s="79"/>
      <c r="C47" s="1411" t="s">
        <v>86</v>
      </c>
      <c r="D47" s="1411"/>
      <c r="E47" s="1411"/>
      <c r="F47" s="1411"/>
      <c r="G47" s="1411"/>
      <c r="H47" s="1412" t="s">
        <v>87</v>
      </c>
      <c r="I47" s="1413"/>
      <c r="J47" s="1414">
        <f>J46*24%</f>
        <v>984</v>
      </c>
      <c r="K47" s="1415"/>
      <c r="L47" s="1416"/>
      <c r="M47" s="1417"/>
      <c r="N47" s="1418"/>
      <c r="O47" s="1419"/>
      <c r="P47" s="1420">
        <f>((('Scheme Entry - Baseline'!$W$46*1000)/('Scheme Entry - Baseline'!$W$9))*Overview!$E$29)*('Scheme Entry - Baseline'!$W$11/1000)*J47</f>
        <v>270424.28571428574</v>
      </c>
      <c r="Q47" s="1421"/>
      <c r="R47" s="1422"/>
      <c r="S47" s="1498">
        <f>S10</f>
        <v>0.09</v>
      </c>
      <c r="T47" s="1424"/>
      <c r="U47" s="1425"/>
      <c r="V47" s="1428">
        <f>P47*S47</f>
        <v>24338.185714285715</v>
      </c>
      <c r="W47" s="1429"/>
      <c r="X47" s="1429"/>
      <c r="Y47" s="690"/>
      <c r="Z47" s="3"/>
    </row>
    <row r="48" spans="1:26" ht="15" customHeight="1" x14ac:dyDescent="0.3">
      <c r="A48" s="79"/>
      <c r="B48" s="79"/>
      <c r="C48" s="1430"/>
      <c r="D48" s="1430"/>
      <c r="E48" s="1430"/>
      <c r="F48" s="1430"/>
      <c r="G48" s="1430"/>
      <c r="H48" s="1052" t="s">
        <v>88</v>
      </c>
      <c r="I48" s="1431"/>
      <c r="J48" s="1432">
        <f>J46*76%</f>
        <v>3116</v>
      </c>
      <c r="K48" s="1433"/>
      <c r="L48" s="1434"/>
      <c r="M48" s="1435">
        <v>0.25</v>
      </c>
      <c r="N48" s="1436"/>
      <c r="O48" s="1437"/>
      <c r="P48" s="1438">
        <f>((('Scheme Entry - Baseline'!$W$46*1000)/('Scheme Entry - Baseline'!$W$9))*Overview!$E$29)*('Scheme Entry - Baseline'!$W$11*J48/1000)*(100%-M48)</f>
        <v>642257.67857142864</v>
      </c>
      <c r="Q48" s="1439"/>
      <c r="R48" s="1440"/>
      <c r="S48" s="1497">
        <f>S10</f>
        <v>0.09</v>
      </c>
      <c r="T48" s="1442"/>
      <c r="U48" s="1443"/>
      <c r="V48" s="1444">
        <f>P48*S48</f>
        <v>57803.191071428577</v>
      </c>
      <c r="W48" s="1445"/>
      <c r="X48" s="1445"/>
      <c r="Y48" s="690"/>
      <c r="Z48" s="3"/>
    </row>
    <row r="49" spans="1:26" ht="15" customHeight="1" thickBot="1" x14ac:dyDescent="0.35">
      <c r="A49" s="79"/>
      <c r="B49" s="79"/>
      <c r="C49" s="1387"/>
      <c r="D49" s="1387"/>
      <c r="E49" s="1387"/>
      <c r="F49" s="1387"/>
      <c r="G49" s="1387"/>
      <c r="H49" s="1387"/>
      <c r="I49" s="1387"/>
      <c r="J49" s="1389">
        <f>SUM(J47:L48)</f>
        <v>4100</v>
      </c>
      <c r="K49" s="1390"/>
      <c r="L49" s="1391"/>
      <c r="M49" s="1392"/>
      <c r="N49" s="1393"/>
      <c r="O49" s="1394"/>
      <c r="P49" s="1395">
        <f>SUM(P47:R48)</f>
        <v>912681.96428571432</v>
      </c>
      <c r="Q49" s="1396"/>
      <c r="R49" s="1397"/>
      <c r="S49" s="1392"/>
      <c r="T49" s="1393"/>
      <c r="U49" s="1394"/>
      <c r="V49" s="1385">
        <f>SUM(V47:X48)</f>
        <v>82141.376785714296</v>
      </c>
      <c r="W49" s="1386"/>
      <c r="X49" s="1386"/>
      <c r="Y49" s="111"/>
      <c r="Z49" s="3"/>
    </row>
    <row r="50" spans="1:26" ht="15" customHeight="1" x14ac:dyDescent="0.3">
      <c r="A50" s="3"/>
      <c r="B50" s="930"/>
      <c r="C50" s="931"/>
      <c r="D50" s="931"/>
      <c r="E50" s="931"/>
      <c r="F50" s="931"/>
      <c r="G50" s="931"/>
      <c r="H50" s="931"/>
      <c r="I50" s="931"/>
      <c r="J50" s="931"/>
      <c r="K50" s="931"/>
      <c r="L50" s="931"/>
      <c r="M50" s="931"/>
      <c r="N50" s="931"/>
      <c r="O50" s="931"/>
      <c r="P50" s="931"/>
      <c r="Q50" s="931"/>
      <c r="R50" s="931"/>
      <c r="S50" s="931"/>
      <c r="T50" s="931"/>
      <c r="U50" s="931"/>
      <c r="V50" s="931"/>
      <c r="W50" s="931"/>
      <c r="X50" s="3"/>
      <c r="Y50" s="3"/>
      <c r="Z50" s="3"/>
    </row>
    <row r="51" spans="1:26" ht="15" customHeight="1" x14ac:dyDescent="0.3">
      <c r="A51" s="79"/>
      <c r="B51" s="116" t="s">
        <v>121</v>
      </c>
      <c r="C51" s="3"/>
      <c r="D51" s="3"/>
      <c r="E51" s="3"/>
      <c r="F51" s="3"/>
      <c r="G51" s="3"/>
      <c r="H51" s="3"/>
      <c r="I51" s="3"/>
      <c r="J51" s="3"/>
      <c r="K51" s="3"/>
      <c r="L51" s="3"/>
      <c r="M51" s="22"/>
      <c r="N51" s="3"/>
      <c r="O51" s="3"/>
      <c r="P51" s="3"/>
      <c r="Q51" s="3"/>
      <c r="R51" s="3"/>
      <c r="S51" s="3"/>
      <c r="T51" s="3"/>
      <c r="U51" s="3"/>
      <c r="V51" s="3"/>
      <c r="W51" s="3"/>
      <c r="X51" s="3"/>
      <c r="Y51" s="3"/>
      <c r="Z51" s="3"/>
    </row>
    <row r="52" spans="1:26" ht="15" customHeight="1" x14ac:dyDescent="0.3">
      <c r="A52" s="79"/>
      <c r="B52" s="31"/>
      <c r="C52" s="1350" t="s">
        <v>37</v>
      </c>
      <c r="D52" s="1350"/>
      <c r="E52" s="1350"/>
      <c r="F52" s="1350"/>
      <c r="G52" s="1350"/>
      <c r="H52" s="1350"/>
      <c r="I52" s="1351"/>
      <c r="J52" s="1202" t="s">
        <v>90</v>
      </c>
      <c r="K52" s="1354"/>
      <c r="L52" s="1355"/>
      <c r="M52" s="1202" t="s">
        <v>91</v>
      </c>
      <c r="N52" s="1354"/>
      <c r="O52" s="1355"/>
      <c r="P52" s="1202" t="s">
        <v>92</v>
      </c>
      <c r="Q52" s="1354"/>
      <c r="R52" s="1355"/>
      <c r="S52" s="1202" t="s">
        <v>93</v>
      </c>
      <c r="T52" s="1354"/>
      <c r="U52" s="1355"/>
      <c r="V52" s="1202" t="s">
        <v>94</v>
      </c>
      <c r="W52" s="1354"/>
      <c r="X52" s="1354"/>
      <c r="Y52" s="685"/>
      <c r="Z52" s="3"/>
    </row>
    <row r="53" spans="1:26" ht="15" customHeight="1" thickBot="1" x14ac:dyDescent="0.35">
      <c r="A53" s="79"/>
      <c r="B53" s="79"/>
      <c r="C53" s="1352"/>
      <c r="D53" s="1352"/>
      <c r="E53" s="1352"/>
      <c r="F53" s="1352"/>
      <c r="G53" s="1352"/>
      <c r="H53" s="1352"/>
      <c r="I53" s="1353"/>
      <c r="J53" s="1356"/>
      <c r="K53" s="1061"/>
      <c r="L53" s="1057"/>
      <c r="M53" s="1356"/>
      <c r="N53" s="1061"/>
      <c r="O53" s="1057"/>
      <c r="P53" s="1356"/>
      <c r="Q53" s="1061"/>
      <c r="R53" s="1057"/>
      <c r="S53" s="1356"/>
      <c r="T53" s="1061"/>
      <c r="U53" s="1057"/>
      <c r="V53" s="1356"/>
      <c r="W53" s="1061"/>
      <c r="X53" s="1061"/>
      <c r="Y53" s="685"/>
      <c r="Z53" s="3"/>
    </row>
    <row r="54" spans="1:26" ht="15" customHeight="1" x14ac:dyDescent="0.3">
      <c r="A54" s="79"/>
      <c r="B54" s="79"/>
      <c r="C54" s="1426" t="s">
        <v>85</v>
      </c>
      <c r="D54" s="1426"/>
      <c r="E54" s="1426"/>
      <c r="F54" s="1426"/>
      <c r="G54" s="1426"/>
      <c r="H54" s="1426"/>
      <c r="I54" s="1427"/>
      <c r="J54" s="1406">
        <v>4100</v>
      </c>
      <c r="K54" s="1407"/>
      <c r="L54" s="1408"/>
      <c r="M54" s="1400"/>
      <c r="N54" s="1401"/>
      <c r="O54" s="1402"/>
      <c r="P54" s="1403">
        <f>P10</f>
        <v>1126767.8571428573</v>
      </c>
      <c r="Q54" s="1404"/>
      <c r="R54" s="1405"/>
      <c r="S54" s="1493">
        <f>S10</f>
        <v>0.09</v>
      </c>
      <c r="T54" s="1407"/>
      <c r="U54" s="1408"/>
      <c r="V54" s="1409">
        <f>P54*S54</f>
        <v>101409.10714285714</v>
      </c>
      <c r="W54" s="1410"/>
      <c r="X54" s="1410"/>
      <c r="Y54" s="736"/>
      <c r="Z54" s="3"/>
    </row>
    <row r="55" spans="1:26" ht="15" customHeight="1" x14ac:dyDescent="0.3">
      <c r="A55" s="79"/>
      <c r="B55" s="79"/>
      <c r="C55" s="1411" t="s">
        <v>86</v>
      </c>
      <c r="D55" s="1411"/>
      <c r="E55" s="1411"/>
      <c r="F55" s="1411"/>
      <c r="G55" s="1411"/>
      <c r="H55" s="1412" t="s">
        <v>87</v>
      </c>
      <c r="I55" s="1413"/>
      <c r="J55" s="1452">
        <f>J47</f>
        <v>984</v>
      </c>
      <c r="K55" s="1453"/>
      <c r="L55" s="1454"/>
      <c r="M55" s="1417"/>
      <c r="N55" s="1418"/>
      <c r="O55" s="1419"/>
      <c r="P55" s="1420">
        <f>((('Scheme Entry - Baseline'!$W$46*1000)/('Scheme Entry - Baseline'!$W$9))*Overview!$E$29)*('Scheme Entry - Baseline'!$W$11/1000)*J55</f>
        <v>270424.28571428574</v>
      </c>
      <c r="Q55" s="1421"/>
      <c r="R55" s="1422"/>
      <c r="S55" s="1498">
        <f>S10</f>
        <v>0.09</v>
      </c>
      <c r="T55" s="1424"/>
      <c r="U55" s="1425"/>
      <c r="V55" s="1428">
        <f>P55*S55</f>
        <v>24338.185714285715</v>
      </c>
      <c r="W55" s="1429"/>
      <c r="X55" s="1429"/>
      <c r="Y55" s="690"/>
      <c r="Z55" s="3"/>
    </row>
    <row r="56" spans="1:26" ht="15" customHeight="1" x14ac:dyDescent="0.3">
      <c r="A56" s="79"/>
      <c r="B56" s="79"/>
      <c r="C56" s="1430"/>
      <c r="D56" s="1430"/>
      <c r="E56" s="1430"/>
      <c r="F56" s="1430"/>
      <c r="G56" s="1430"/>
      <c r="H56" s="1052" t="s">
        <v>88</v>
      </c>
      <c r="I56" s="1431"/>
      <c r="J56" s="1449">
        <f>J48</f>
        <v>3116</v>
      </c>
      <c r="K56" s="1450"/>
      <c r="L56" s="1451"/>
      <c r="M56" s="1435">
        <v>0.33</v>
      </c>
      <c r="N56" s="1436"/>
      <c r="O56" s="1437"/>
      <c r="P56" s="1438">
        <f>((('Scheme Entry - Baseline'!$W$46*1000)/('Scheme Entry - Baseline'!$W$9))*Overview!$E$29)*('Scheme Entry - Baseline'!$W$11*J56/1000)*(100%-M56)</f>
        <v>573750.19285714289</v>
      </c>
      <c r="Q56" s="1439"/>
      <c r="R56" s="1440"/>
      <c r="S56" s="1497">
        <f>S10</f>
        <v>0.09</v>
      </c>
      <c r="T56" s="1442"/>
      <c r="U56" s="1443"/>
      <c r="V56" s="1444">
        <f>P56*S56</f>
        <v>51637.51735714286</v>
      </c>
      <c r="W56" s="1445"/>
      <c r="X56" s="1445"/>
      <c r="Y56" s="690"/>
      <c r="Z56" s="3"/>
    </row>
    <row r="57" spans="1:26" ht="15" customHeight="1" thickBot="1" x14ac:dyDescent="0.35">
      <c r="A57" s="79"/>
      <c r="B57" s="79"/>
      <c r="C57" s="1387"/>
      <c r="D57" s="1387"/>
      <c r="E57" s="1387"/>
      <c r="F57" s="1387"/>
      <c r="G57" s="1387"/>
      <c r="H57" s="1387"/>
      <c r="I57" s="1387"/>
      <c r="J57" s="1389">
        <f>SUM(J55:L56)</f>
        <v>4100</v>
      </c>
      <c r="K57" s="1390"/>
      <c r="L57" s="1391"/>
      <c r="M57" s="1392"/>
      <c r="N57" s="1393"/>
      <c r="O57" s="1394"/>
      <c r="P57" s="1395">
        <f>SUM(P55:R56)</f>
        <v>844174.47857142868</v>
      </c>
      <c r="Q57" s="1396"/>
      <c r="R57" s="1397"/>
      <c r="S57" s="1392"/>
      <c r="T57" s="1393"/>
      <c r="U57" s="1394"/>
      <c r="V57" s="1385">
        <f>SUM(V55:X56)</f>
        <v>75975.703071428579</v>
      </c>
      <c r="W57" s="1386"/>
      <c r="X57" s="1386"/>
      <c r="Y57" s="111"/>
      <c r="Z57" s="3"/>
    </row>
    <row r="58" spans="1:26" ht="15" customHeight="1" x14ac:dyDescent="0.3">
      <c r="A58" s="3"/>
      <c r="B58" s="930"/>
      <c r="C58" s="931"/>
      <c r="D58" s="931"/>
      <c r="E58" s="931"/>
      <c r="F58" s="931"/>
      <c r="G58" s="931"/>
      <c r="H58" s="931"/>
      <c r="I58" s="931"/>
      <c r="J58" s="931"/>
      <c r="K58" s="931"/>
      <c r="L58" s="931"/>
      <c r="M58" s="931"/>
      <c r="N58" s="931"/>
      <c r="O58" s="931"/>
      <c r="P58" s="931"/>
      <c r="Q58" s="931"/>
      <c r="R58" s="931"/>
      <c r="S58" s="931"/>
      <c r="T58" s="931"/>
      <c r="U58" s="931"/>
      <c r="V58" s="931"/>
      <c r="W58" s="931"/>
      <c r="X58" s="3"/>
      <c r="Y58" s="3"/>
      <c r="Z58" s="3"/>
    </row>
    <row r="59" spans="1:26" ht="15" customHeight="1" x14ac:dyDescent="0.3">
      <c r="A59" s="3"/>
      <c r="B59" s="677"/>
      <c r="C59" s="677"/>
      <c r="D59" s="677"/>
      <c r="E59" s="677"/>
      <c r="F59" s="677"/>
      <c r="G59" s="677"/>
      <c r="H59" s="677"/>
      <c r="I59" s="677"/>
      <c r="J59" s="677"/>
      <c r="K59" s="677"/>
      <c r="L59" s="677"/>
      <c r="M59" s="677"/>
      <c r="N59" s="677"/>
      <c r="O59" s="677"/>
      <c r="P59" s="677"/>
      <c r="Q59" s="677"/>
      <c r="R59" s="677"/>
      <c r="S59" s="677"/>
      <c r="T59" s="677"/>
      <c r="U59" s="677"/>
      <c r="V59" s="677"/>
      <c r="W59" s="677"/>
      <c r="X59" s="3"/>
      <c r="Y59" s="3"/>
      <c r="Z59" s="3"/>
    </row>
    <row r="60" spans="1:26" ht="15" customHeight="1" x14ac:dyDescent="0.3">
      <c r="A60" s="3"/>
      <c r="B60" s="677"/>
      <c r="C60" s="677"/>
      <c r="D60" s="677"/>
      <c r="E60" s="677"/>
      <c r="F60" s="677"/>
      <c r="G60" s="677"/>
      <c r="H60" s="677"/>
      <c r="I60" s="677"/>
      <c r="J60" s="677"/>
      <c r="K60" s="677"/>
      <c r="L60" s="677"/>
      <c r="M60" s="677"/>
      <c r="N60" s="677"/>
      <c r="O60" s="677"/>
      <c r="P60" s="677"/>
      <c r="Q60" s="677"/>
      <c r="R60" s="677"/>
      <c r="S60" s="677"/>
      <c r="T60" s="677"/>
      <c r="U60" s="677"/>
      <c r="V60" s="677"/>
      <c r="W60" s="677"/>
      <c r="X60" s="3"/>
      <c r="Y60" s="3"/>
      <c r="Z60" s="3"/>
    </row>
    <row r="61" spans="1:26" ht="15" customHeight="1" x14ac:dyDescent="0.3">
      <c r="A61" s="3"/>
      <c r="B61" s="677"/>
      <c r="C61" s="677"/>
      <c r="D61" s="677"/>
      <c r="E61" s="677"/>
      <c r="F61" s="677"/>
      <c r="G61" s="677"/>
      <c r="H61" s="677"/>
      <c r="I61" s="677"/>
      <c r="J61" s="677"/>
      <c r="K61" s="677"/>
      <c r="L61" s="677"/>
      <c r="M61" s="677"/>
      <c r="N61" s="677"/>
      <c r="O61" s="677"/>
      <c r="P61" s="677"/>
      <c r="Q61" s="677"/>
      <c r="R61" s="677"/>
      <c r="S61" s="677"/>
      <c r="T61" s="677"/>
      <c r="U61" s="677"/>
      <c r="V61" s="677"/>
      <c r="W61" s="677"/>
      <c r="X61" s="3"/>
      <c r="Y61" s="3"/>
      <c r="Z61" s="3"/>
    </row>
    <row r="62" spans="1:26" ht="15" customHeight="1" x14ac:dyDescent="0.3">
      <c r="A62" s="3"/>
      <c r="B62" s="496"/>
      <c r="C62" s="496"/>
      <c r="D62" s="496"/>
      <c r="E62" s="496"/>
      <c r="F62" s="496"/>
      <c r="G62" s="496"/>
      <c r="H62" s="496"/>
      <c r="I62" s="496"/>
      <c r="J62" s="496"/>
      <c r="K62" s="496"/>
      <c r="L62" s="496"/>
      <c r="M62" s="496"/>
      <c r="N62" s="496"/>
      <c r="O62" s="496"/>
      <c r="P62" s="496"/>
      <c r="Q62" s="496"/>
      <c r="R62" s="496"/>
      <c r="S62" s="496"/>
      <c r="T62" s="496"/>
      <c r="U62" s="496"/>
      <c r="V62" s="496"/>
      <c r="W62" s="496"/>
      <c r="X62" s="3"/>
      <c r="Y62" s="3"/>
      <c r="Z62" s="3"/>
    </row>
    <row r="63" spans="1:26" ht="15" customHeight="1" x14ac:dyDescent="0.3">
      <c r="A63" s="3"/>
      <c r="B63" s="496"/>
      <c r="C63" s="496"/>
      <c r="D63" s="496"/>
      <c r="E63" s="496"/>
      <c r="F63" s="496"/>
      <c r="G63" s="496"/>
      <c r="H63" s="496"/>
      <c r="I63" s="496"/>
      <c r="J63" s="496"/>
      <c r="K63" s="496"/>
      <c r="L63" s="496"/>
      <c r="M63" s="496"/>
      <c r="N63" s="496"/>
      <c r="O63" s="496"/>
      <c r="P63" s="496"/>
      <c r="Q63" s="496"/>
      <c r="R63" s="496"/>
      <c r="S63" s="496"/>
      <c r="T63" s="496"/>
      <c r="U63" s="496"/>
      <c r="V63" s="496"/>
      <c r="W63" s="496"/>
      <c r="X63" s="3"/>
      <c r="Y63" s="3"/>
      <c r="Z63" s="3"/>
    </row>
    <row r="64" spans="1:26" ht="15" customHeight="1" x14ac:dyDescent="0.3">
      <c r="A64" s="15"/>
      <c r="B64" s="107"/>
      <c r="C64" s="107"/>
      <c r="D64" s="107"/>
      <c r="E64" s="107"/>
      <c r="F64" s="107"/>
      <c r="G64" s="107"/>
      <c r="H64" s="107"/>
      <c r="I64" s="107"/>
      <c r="J64" s="107"/>
      <c r="K64" s="107"/>
      <c r="L64" s="107"/>
      <c r="M64" s="107"/>
      <c r="N64" s="107"/>
      <c r="O64" s="107"/>
      <c r="P64" s="107"/>
      <c r="Q64" s="107"/>
      <c r="R64" s="107"/>
      <c r="S64" s="107"/>
      <c r="T64" s="107"/>
      <c r="U64" s="107"/>
      <c r="V64" s="107"/>
      <c r="W64" s="107"/>
      <c r="X64" s="15"/>
      <c r="Y64" s="15"/>
      <c r="Z64" s="15"/>
    </row>
    <row r="65" spans="1:26" ht="15" customHeight="1" x14ac:dyDescent="0.3">
      <c r="A65" s="1"/>
      <c r="B65" s="108"/>
      <c r="C65" s="108"/>
      <c r="D65" s="108"/>
      <c r="E65" s="108"/>
      <c r="F65" s="108"/>
      <c r="G65" s="108"/>
      <c r="H65" s="108"/>
      <c r="I65" s="108"/>
      <c r="J65" s="108"/>
      <c r="K65" s="108"/>
      <c r="L65" s="108"/>
      <c r="M65" s="108"/>
      <c r="N65" s="108"/>
      <c r="O65" s="108"/>
      <c r="P65" s="108"/>
      <c r="Q65" s="108"/>
      <c r="R65" s="108"/>
      <c r="S65" s="108"/>
      <c r="T65" s="108"/>
      <c r="U65" s="108"/>
      <c r="V65" s="108"/>
      <c r="W65" s="108"/>
      <c r="X65" s="1"/>
      <c r="Y65" s="1"/>
      <c r="Z65" s="1"/>
    </row>
    <row r="66" spans="1:26" ht="15" customHeight="1" x14ac:dyDescent="0.3">
      <c r="A66" s="79"/>
      <c r="B66" s="117" t="s">
        <v>122</v>
      </c>
      <c r="C66" s="3"/>
      <c r="D66" s="3"/>
      <c r="E66" s="3"/>
      <c r="F66" s="3"/>
      <c r="G66" s="3"/>
      <c r="H66" s="3"/>
      <c r="I66" s="3"/>
      <c r="J66" s="3"/>
      <c r="K66" s="3"/>
      <c r="L66" s="3"/>
      <c r="M66" s="22"/>
      <c r="N66" s="3"/>
      <c r="O66" s="3"/>
      <c r="P66" s="3"/>
      <c r="Q66" s="3"/>
      <c r="R66" s="3"/>
      <c r="S66" s="3"/>
      <c r="T66" s="3"/>
      <c r="U66" s="3"/>
      <c r="V66" s="3"/>
      <c r="W66" s="3"/>
      <c r="X66" s="3"/>
      <c r="Y66" s="3"/>
      <c r="Z66" s="3"/>
    </row>
    <row r="67" spans="1:26" ht="15" customHeight="1" x14ac:dyDescent="0.3">
      <c r="A67" s="79"/>
      <c r="B67" s="31"/>
      <c r="C67" s="1350" t="s">
        <v>37</v>
      </c>
      <c r="D67" s="1350"/>
      <c r="E67" s="1350"/>
      <c r="F67" s="1350"/>
      <c r="G67" s="1350"/>
      <c r="H67" s="1350"/>
      <c r="I67" s="1351"/>
      <c r="J67" s="1202" t="s">
        <v>90</v>
      </c>
      <c r="K67" s="1354"/>
      <c r="L67" s="1355"/>
      <c r="M67" s="1202" t="s">
        <v>91</v>
      </c>
      <c r="N67" s="1354"/>
      <c r="O67" s="1355"/>
      <c r="P67" s="1202" t="s">
        <v>92</v>
      </c>
      <c r="Q67" s="1354"/>
      <c r="R67" s="1355"/>
      <c r="S67" s="1202" t="s">
        <v>93</v>
      </c>
      <c r="T67" s="1354"/>
      <c r="U67" s="1355"/>
      <c r="V67" s="1202" t="s">
        <v>94</v>
      </c>
      <c r="W67" s="1354"/>
      <c r="X67" s="1354"/>
      <c r="Y67" s="685"/>
      <c r="Z67" s="3"/>
    </row>
    <row r="68" spans="1:26" ht="15" customHeight="1" thickBot="1" x14ac:dyDescent="0.35">
      <c r="A68" s="79"/>
      <c r="B68" s="79"/>
      <c r="C68" s="1352"/>
      <c r="D68" s="1352"/>
      <c r="E68" s="1352"/>
      <c r="F68" s="1352"/>
      <c r="G68" s="1352"/>
      <c r="H68" s="1352"/>
      <c r="I68" s="1353"/>
      <c r="J68" s="1356"/>
      <c r="K68" s="1061"/>
      <c r="L68" s="1057"/>
      <c r="M68" s="1356"/>
      <c r="N68" s="1061"/>
      <c r="O68" s="1057"/>
      <c r="P68" s="1356"/>
      <c r="Q68" s="1061"/>
      <c r="R68" s="1057"/>
      <c r="S68" s="1356"/>
      <c r="T68" s="1061"/>
      <c r="U68" s="1057"/>
      <c r="V68" s="1356"/>
      <c r="W68" s="1061"/>
      <c r="X68" s="1061"/>
      <c r="Y68" s="685"/>
      <c r="Z68" s="3"/>
    </row>
    <row r="69" spans="1:26" ht="15" customHeight="1" x14ac:dyDescent="0.3">
      <c r="A69" s="79"/>
      <c r="B69" s="79"/>
      <c r="C69" s="1426" t="s">
        <v>85</v>
      </c>
      <c r="D69" s="1426"/>
      <c r="E69" s="1426"/>
      <c r="F69" s="1426"/>
      <c r="G69" s="1426"/>
      <c r="H69" s="1426"/>
      <c r="I69" s="1427"/>
      <c r="J69" s="1406">
        <v>4100</v>
      </c>
      <c r="K69" s="1407"/>
      <c r="L69" s="1408"/>
      <c r="M69" s="1400"/>
      <c r="N69" s="1401"/>
      <c r="O69" s="1402"/>
      <c r="P69" s="1342">
        <f>P10</f>
        <v>1126767.8571428573</v>
      </c>
      <c r="Q69" s="1343"/>
      <c r="R69" s="1344"/>
      <c r="S69" s="1493">
        <f>S10</f>
        <v>0.09</v>
      </c>
      <c r="T69" s="1407"/>
      <c r="U69" s="1408"/>
      <c r="V69" s="1409">
        <f>P69*S69</f>
        <v>101409.10714285714</v>
      </c>
      <c r="W69" s="1410"/>
      <c r="X69" s="1410"/>
      <c r="Y69" s="736"/>
      <c r="Z69" s="3"/>
    </row>
    <row r="70" spans="1:26" ht="15" customHeight="1" x14ac:dyDescent="0.3">
      <c r="A70" s="79"/>
      <c r="B70" s="79"/>
      <c r="C70" s="1411" t="s">
        <v>86</v>
      </c>
      <c r="D70" s="1411"/>
      <c r="E70" s="1411"/>
      <c r="F70" s="1411"/>
      <c r="G70" s="1411"/>
      <c r="H70" s="1412" t="s">
        <v>87</v>
      </c>
      <c r="I70" s="1413"/>
      <c r="J70" s="1452">
        <f>J47</f>
        <v>984</v>
      </c>
      <c r="K70" s="1453"/>
      <c r="L70" s="1454"/>
      <c r="M70" s="1417"/>
      <c r="N70" s="1418"/>
      <c r="O70" s="1419"/>
      <c r="P70" s="1420">
        <f>((('Scheme Entry - Baseline'!$W$46*1000)/('Scheme Entry - Baseline'!$W$9))*Overview!$E$29)*('Scheme Entry - Baseline'!$W$11/1000)*J70</f>
        <v>270424.28571428574</v>
      </c>
      <c r="Q70" s="1421"/>
      <c r="R70" s="1422"/>
      <c r="S70" s="1498">
        <f>S10</f>
        <v>0.09</v>
      </c>
      <c r="T70" s="1424"/>
      <c r="U70" s="1425"/>
      <c r="V70" s="1428">
        <f>P70*S70</f>
        <v>24338.185714285715</v>
      </c>
      <c r="W70" s="1429"/>
      <c r="X70" s="1429"/>
      <c r="Y70" s="690"/>
      <c r="Z70" s="3"/>
    </row>
    <row r="71" spans="1:26" ht="15" customHeight="1" x14ac:dyDescent="0.3">
      <c r="A71" s="79"/>
      <c r="B71" s="79"/>
      <c r="C71" s="1430"/>
      <c r="D71" s="1430"/>
      <c r="E71" s="1430"/>
      <c r="F71" s="1430"/>
      <c r="G71" s="1430"/>
      <c r="H71" s="1052" t="s">
        <v>88</v>
      </c>
      <c r="I71" s="1431"/>
      <c r="J71" s="1449">
        <f>J48</f>
        <v>3116</v>
      </c>
      <c r="K71" s="1450"/>
      <c r="L71" s="1451"/>
      <c r="M71" s="1435">
        <v>0.5</v>
      </c>
      <c r="N71" s="1436"/>
      <c r="O71" s="1437"/>
      <c r="P71" s="1438">
        <f>((('Scheme Entry - Baseline'!$W$46*1000)/('Scheme Entry - Baseline'!$W$9))*Overview!$E$29)*('Scheme Entry - Baseline'!$W$11*J71/1000)*(100%-M71)</f>
        <v>428171.78571428574</v>
      </c>
      <c r="Q71" s="1439"/>
      <c r="R71" s="1440"/>
      <c r="S71" s="1497">
        <f>S10</f>
        <v>0.09</v>
      </c>
      <c r="T71" s="1442"/>
      <c r="U71" s="1443"/>
      <c r="V71" s="1444">
        <f>P71*S71</f>
        <v>38535.460714285713</v>
      </c>
      <c r="W71" s="1445"/>
      <c r="X71" s="1445"/>
      <c r="Y71" s="690"/>
      <c r="Z71" s="3"/>
    </row>
    <row r="72" spans="1:26" ht="15" customHeight="1" thickBot="1" x14ac:dyDescent="0.35">
      <c r="A72" s="79"/>
      <c r="B72" s="79"/>
      <c r="C72" s="1387"/>
      <c r="D72" s="1387"/>
      <c r="E72" s="1387"/>
      <c r="F72" s="1387"/>
      <c r="G72" s="1387"/>
      <c r="H72" s="1387"/>
      <c r="I72" s="1387"/>
      <c r="J72" s="1389">
        <f>SUM(J70:L71)</f>
        <v>4100</v>
      </c>
      <c r="K72" s="1390"/>
      <c r="L72" s="1391"/>
      <c r="M72" s="1392"/>
      <c r="N72" s="1393"/>
      <c r="O72" s="1394"/>
      <c r="P72" s="1395">
        <f>SUM(P70:R71)</f>
        <v>698596.07142857148</v>
      </c>
      <c r="Q72" s="1396"/>
      <c r="R72" s="1397"/>
      <c r="S72" s="1392"/>
      <c r="T72" s="1393"/>
      <c r="U72" s="1394"/>
      <c r="V72" s="1385">
        <f>SUM(V70:X71)</f>
        <v>62873.646428571432</v>
      </c>
      <c r="W72" s="1386"/>
      <c r="X72" s="1386"/>
      <c r="Y72" s="111"/>
      <c r="Z72" s="3"/>
    </row>
    <row r="73" spans="1:26" ht="15" customHeight="1" x14ac:dyDescent="0.3">
      <c r="A73" s="79"/>
      <c r="B73" s="79"/>
      <c r="C73" s="498"/>
      <c r="D73" s="498"/>
      <c r="E73" s="498"/>
      <c r="F73" s="498"/>
      <c r="G73" s="498"/>
      <c r="H73" s="498"/>
      <c r="I73" s="498"/>
      <c r="J73" s="109"/>
      <c r="K73" s="109"/>
      <c r="L73" s="109"/>
      <c r="M73" s="499"/>
      <c r="N73" s="499"/>
      <c r="O73" s="499"/>
      <c r="P73" s="110"/>
      <c r="Q73" s="110"/>
      <c r="R73" s="110"/>
      <c r="S73" s="499"/>
      <c r="T73" s="499"/>
      <c r="U73" s="499"/>
      <c r="V73" s="111"/>
      <c r="W73" s="111"/>
      <c r="X73" s="111"/>
      <c r="Y73" s="111"/>
      <c r="Z73" s="3"/>
    </row>
    <row r="74" spans="1:26" ht="15" customHeight="1" x14ac:dyDescent="0.3">
      <c r="A74" s="79"/>
      <c r="B74" s="30" t="s">
        <v>123</v>
      </c>
      <c r="C74" s="3"/>
      <c r="D74" s="3"/>
      <c r="E74" s="3"/>
      <c r="F74" s="3"/>
      <c r="G74" s="3"/>
      <c r="H74" s="3"/>
      <c r="I74" s="3"/>
      <c r="J74" s="3"/>
      <c r="K74" s="3"/>
      <c r="L74" s="3"/>
      <c r="M74" s="3"/>
      <c r="N74" s="3"/>
      <c r="O74" s="3"/>
      <c r="P74" s="3"/>
      <c r="Q74" s="3"/>
      <c r="R74" s="3"/>
      <c r="S74" s="3"/>
      <c r="T74" s="3"/>
      <c r="U74" s="3"/>
      <c r="V74" s="3"/>
      <c r="W74" s="3"/>
      <c r="X74" s="3"/>
      <c r="Y74" s="3"/>
      <c r="Z74" s="3"/>
    </row>
    <row r="75" spans="1:26" ht="15" customHeight="1" x14ac:dyDescent="0.3">
      <c r="A75" s="79"/>
      <c r="B75" s="120" t="s">
        <v>126</v>
      </c>
      <c r="C75" s="3"/>
      <c r="D75" s="3"/>
      <c r="E75" s="3"/>
      <c r="F75" s="3"/>
      <c r="G75" s="3"/>
      <c r="H75" s="3"/>
      <c r="I75" s="3"/>
      <c r="J75" s="3"/>
      <c r="K75" s="3"/>
      <c r="L75" s="3"/>
      <c r="M75" s="22"/>
      <c r="N75" s="3"/>
      <c r="O75" s="3"/>
      <c r="P75" s="3"/>
      <c r="Q75" s="3"/>
      <c r="R75" s="3"/>
      <c r="S75" s="3"/>
      <c r="T75" s="3"/>
      <c r="U75" s="3"/>
      <c r="V75" s="3"/>
      <c r="W75" s="3"/>
      <c r="X75" s="3"/>
      <c r="Y75" s="3"/>
      <c r="Z75" s="3"/>
    </row>
    <row r="76" spans="1:26" ht="15" customHeight="1" x14ac:dyDescent="0.3">
      <c r="A76" s="79"/>
      <c r="B76" s="31"/>
      <c r="C76" s="1350" t="s">
        <v>37</v>
      </c>
      <c r="D76" s="1350"/>
      <c r="E76" s="1350"/>
      <c r="F76" s="1350"/>
      <c r="G76" s="1350"/>
      <c r="H76" s="1350"/>
      <c r="I76" s="1351"/>
      <c r="J76" s="1202" t="s">
        <v>90</v>
      </c>
      <c r="K76" s="1354"/>
      <c r="L76" s="1355"/>
      <c r="M76" s="1202" t="s">
        <v>91</v>
      </c>
      <c r="N76" s="1354"/>
      <c r="O76" s="1355"/>
      <c r="P76" s="1202" t="s">
        <v>92</v>
      </c>
      <c r="Q76" s="1354"/>
      <c r="R76" s="1355"/>
      <c r="S76" s="1202" t="s">
        <v>93</v>
      </c>
      <c r="T76" s="1354"/>
      <c r="U76" s="1355"/>
      <c r="V76" s="1202" t="s">
        <v>94</v>
      </c>
      <c r="W76" s="1354"/>
      <c r="X76" s="1354"/>
      <c r="Y76" s="685"/>
      <c r="Z76" s="3"/>
    </row>
    <row r="77" spans="1:26" ht="15" customHeight="1" thickBot="1" x14ac:dyDescent="0.35">
      <c r="A77" s="79"/>
      <c r="B77" s="79"/>
      <c r="C77" s="1352"/>
      <c r="D77" s="1352"/>
      <c r="E77" s="1352"/>
      <c r="F77" s="1352"/>
      <c r="G77" s="1352"/>
      <c r="H77" s="1352"/>
      <c r="I77" s="1353"/>
      <c r="J77" s="1356"/>
      <c r="K77" s="1061"/>
      <c r="L77" s="1057"/>
      <c r="M77" s="1356"/>
      <c r="N77" s="1061"/>
      <c r="O77" s="1057"/>
      <c r="P77" s="1356"/>
      <c r="Q77" s="1061"/>
      <c r="R77" s="1057"/>
      <c r="S77" s="1356"/>
      <c r="T77" s="1061"/>
      <c r="U77" s="1057"/>
      <c r="V77" s="1356"/>
      <c r="W77" s="1061"/>
      <c r="X77" s="1061"/>
      <c r="Y77" s="685"/>
      <c r="Z77" s="3"/>
    </row>
    <row r="78" spans="1:26" ht="15" customHeight="1" x14ac:dyDescent="0.3">
      <c r="A78" s="79"/>
      <c r="B78" s="79"/>
      <c r="C78" s="1426" t="s">
        <v>85</v>
      </c>
      <c r="D78" s="1426"/>
      <c r="E78" s="1426"/>
      <c r="F78" s="1426"/>
      <c r="G78" s="1426"/>
      <c r="H78" s="1426"/>
      <c r="I78" s="1427"/>
      <c r="J78" s="1406">
        <v>4100</v>
      </c>
      <c r="K78" s="1407"/>
      <c r="L78" s="1408"/>
      <c r="M78" s="1400"/>
      <c r="N78" s="1401"/>
      <c r="O78" s="1402"/>
      <c r="P78" s="1342">
        <f>P10</f>
        <v>1126767.8571428573</v>
      </c>
      <c r="Q78" s="1343"/>
      <c r="R78" s="1344"/>
      <c r="S78" s="1493">
        <f>S10</f>
        <v>0.09</v>
      </c>
      <c r="T78" s="1407"/>
      <c r="U78" s="1408"/>
      <c r="V78" s="1409">
        <f>P78*S78</f>
        <v>101409.10714285714</v>
      </c>
      <c r="W78" s="1410"/>
      <c r="X78" s="1410"/>
      <c r="Y78" s="736"/>
      <c r="Z78" s="3"/>
    </row>
    <row r="79" spans="1:26" ht="15" customHeight="1" x14ac:dyDescent="0.3">
      <c r="A79" s="79"/>
      <c r="B79" s="79"/>
      <c r="C79" s="1411" t="s">
        <v>86</v>
      </c>
      <c r="D79" s="1411"/>
      <c r="E79" s="1411"/>
      <c r="F79" s="1411"/>
      <c r="G79" s="1411"/>
      <c r="H79" s="1412" t="s">
        <v>87</v>
      </c>
      <c r="I79" s="1413"/>
      <c r="J79" s="1414">
        <f>J78*19%</f>
        <v>779</v>
      </c>
      <c r="K79" s="1415"/>
      <c r="L79" s="1416"/>
      <c r="M79" s="1417"/>
      <c r="N79" s="1418"/>
      <c r="O79" s="1419"/>
      <c r="P79" s="1420">
        <f>((('Scheme Entry - Baseline'!$W$46*1000)/('Scheme Entry - Baseline'!$W$9))*Overview!$E$29)*('Scheme Entry - Baseline'!$W$11/1000)*J79</f>
        <v>214085.8928571429</v>
      </c>
      <c r="Q79" s="1421"/>
      <c r="R79" s="1422"/>
      <c r="S79" s="1498">
        <f>S10</f>
        <v>0.09</v>
      </c>
      <c r="T79" s="1424"/>
      <c r="U79" s="1425"/>
      <c r="V79" s="1428">
        <f>P79*S79</f>
        <v>19267.73035714286</v>
      </c>
      <c r="W79" s="1429"/>
      <c r="X79" s="1429"/>
      <c r="Y79" s="690"/>
      <c r="Z79" s="3"/>
    </row>
    <row r="80" spans="1:26" ht="15" customHeight="1" x14ac:dyDescent="0.3">
      <c r="A80" s="79"/>
      <c r="B80" s="79"/>
      <c r="C80" s="1430"/>
      <c r="D80" s="1430"/>
      <c r="E80" s="1430"/>
      <c r="F80" s="1430"/>
      <c r="G80" s="1430"/>
      <c r="H80" s="1052" t="s">
        <v>124</v>
      </c>
      <c r="I80" s="1431"/>
      <c r="J80" s="1432">
        <f>J78*5%</f>
        <v>205</v>
      </c>
      <c r="K80" s="1433"/>
      <c r="L80" s="1434"/>
      <c r="M80" s="1435">
        <v>0.25</v>
      </c>
      <c r="N80" s="1436"/>
      <c r="O80" s="1437"/>
      <c r="P80" s="1438">
        <f>((('Scheme Entry - Baseline'!$W$46*1000)/('Scheme Entry - Baseline'!$W$9))*Overview!$E$29)*('Scheme Entry - Baseline'!$W$11*J80/1000)*(100%-M80)</f>
        <v>42253.794642857145</v>
      </c>
      <c r="Q80" s="1439"/>
      <c r="R80" s="1440"/>
      <c r="S80" s="1497">
        <f>S10</f>
        <v>0.09</v>
      </c>
      <c r="T80" s="1442"/>
      <c r="U80" s="1443"/>
      <c r="V80" s="1444">
        <f>P80*S80</f>
        <v>3802.8415178571431</v>
      </c>
      <c r="W80" s="1445"/>
      <c r="X80" s="1445"/>
      <c r="Y80" s="690"/>
      <c r="Z80" s="3"/>
    </row>
    <row r="81" spans="1:26" ht="15" customHeight="1" x14ac:dyDescent="0.3">
      <c r="A81" s="79"/>
      <c r="B81" s="79"/>
      <c r="C81" s="498"/>
      <c r="D81" s="498"/>
      <c r="E81" s="498"/>
      <c r="F81" s="498"/>
      <c r="G81" s="498"/>
      <c r="H81" s="497"/>
      <c r="I81" s="497" t="s">
        <v>125</v>
      </c>
      <c r="J81" s="1432">
        <f>J78*76%</f>
        <v>3116</v>
      </c>
      <c r="K81" s="1433"/>
      <c r="L81" s="1434"/>
      <c r="M81" s="1435">
        <v>0.5</v>
      </c>
      <c r="N81" s="1436"/>
      <c r="O81" s="1437"/>
      <c r="P81" s="1438">
        <f>((('Scheme Entry - Baseline'!$W$46*1000)/('Scheme Entry - Baseline'!$W$9))*Overview!$E$29)*('Scheme Entry - Baseline'!$W$11*J81/1000)*(100%-M81)</f>
        <v>428171.78571428574</v>
      </c>
      <c r="Q81" s="1439"/>
      <c r="R81" s="1440"/>
      <c r="S81" s="1497">
        <f>S10</f>
        <v>0.09</v>
      </c>
      <c r="T81" s="1442"/>
      <c r="U81" s="1443"/>
      <c r="V81" s="1444">
        <f>P81*S81</f>
        <v>38535.460714285713</v>
      </c>
      <c r="W81" s="1445"/>
      <c r="X81" s="1445"/>
      <c r="Y81" s="690"/>
      <c r="Z81" s="3"/>
    </row>
    <row r="82" spans="1:26" ht="15" customHeight="1" thickBot="1" x14ac:dyDescent="0.35">
      <c r="A82" s="79"/>
      <c r="B82" s="79"/>
      <c r="C82" s="1387"/>
      <c r="D82" s="1387"/>
      <c r="E82" s="1387"/>
      <c r="F82" s="1387"/>
      <c r="G82" s="1387"/>
      <c r="H82" s="1387"/>
      <c r="I82" s="1387"/>
      <c r="J82" s="1446">
        <f>SUM(J79:L81)</f>
        <v>4100</v>
      </c>
      <c r="K82" s="1390"/>
      <c r="L82" s="1391"/>
      <c r="M82" s="1392"/>
      <c r="N82" s="1393"/>
      <c r="O82" s="1394"/>
      <c r="P82" s="1395">
        <f>SUM(P79:R81)</f>
        <v>684511.4732142858</v>
      </c>
      <c r="Q82" s="1396"/>
      <c r="R82" s="1397"/>
      <c r="S82" s="1392"/>
      <c r="T82" s="1393"/>
      <c r="U82" s="1394"/>
      <c r="V82" s="1385">
        <f>SUM(V79:X81)</f>
        <v>61606.032589285714</v>
      </c>
      <c r="W82" s="1386"/>
      <c r="X82" s="1386"/>
      <c r="Y82" s="111"/>
      <c r="Z82" s="3"/>
    </row>
    <row r="83" spans="1:26" ht="15" customHeight="1" x14ac:dyDescent="0.3">
      <c r="A83" s="3"/>
      <c r="B83" s="930"/>
      <c r="C83" s="931"/>
      <c r="D83" s="931"/>
      <c r="E83" s="931"/>
      <c r="F83" s="931"/>
      <c r="G83" s="931"/>
      <c r="H83" s="931"/>
      <c r="I83" s="931"/>
      <c r="J83" s="931"/>
      <c r="K83" s="931"/>
      <c r="L83" s="931"/>
      <c r="M83" s="931"/>
      <c r="N83" s="931"/>
      <c r="O83" s="931"/>
      <c r="P83" s="931"/>
      <c r="Q83" s="931"/>
      <c r="R83" s="931"/>
      <c r="S83" s="931"/>
      <c r="T83" s="931"/>
      <c r="U83" s="931"/>
      <c r="V83" s="931"/>
      <c r="W83" s="931"/>
      <c r="X83" s="3"/>
      <c r="Y83" s="3"/>
      <c r="Z83" s="3"/>
    </row>
    <row r="84" spans="1:26" ht="15" customHeight="1" x14ac:dyDescent="0.3">
      <c r="A84" s="79"/>
      <c r="B84" s="118" t="s">
        <v>127</v>
      </c>
      <c r="C84" s="3"/>
      <c r="D84" s="3"/>
      <c r="E84" s="3"/>
      <c r="F84" s="3"/>
      <c r="G84" s="3"/>
      <c r="H84" s="3"/>
      <c r="I84" s="3"/>
      <c r="J84" s="3"/>
      <c r="K84" s="3"/>
      <c r="L84" s="3"/>
      <c r="M84" s="22"/>
      <c r="N84" s="3"/>
      <c r="O84" s="3"/>
      <c r="P84" s="3"/>
      <c r="Q84" s="3"/>
      <c r="R84" s="3"/>
      <c r="S84" s="3"/>
      <c r="T84" s="3"/>
      <c r="U84" s="3"/>
      <c r="V84" s="3"/>
      <c r="W84" s="3"/>
      <c r="X84" s="3"/>
      <c r="Y84" s="3"/>
      <c r="Z84" s="3"/>
    </row>
    <row r="85" spans="1:26" ht="15" customHeight="1" x14ac:dyDescent="0.3">
      <c r="A85" s="79"/>
      <c r="B85" s="31"/>
      <c r="C85" s="1350" t="s">
        <v>37</v>
      </c>
      <c r="D85" s="1350"/>
      <c r="E85" s="1350"/>
      <c r="F85" s="1350"/>
      <c r="G85" s="1350"/>
      <c r="H85" s="1350"/>
      <c r="I85" s="1351"/>
      <c r="J85" s="1202" t="s">
        <v>90</v>
      </c>
      <c r="K85" s="1354"/>
      <c r="L85" s="1355"/>
      <c r="M85" s="1202" t="s">
        <v>91</v>
      </c>
      <c r="N85" s="1354"/>
      <c r="O85" s="1355"/>
      <c r="P85" s="1202" t="s">
        <v>92</v>
      </c>
      <c r="Q85" s="1354"/>
      <c r="R85" s="1355"/>
      <c r="S85" s="1202" t="s">
        <v>93</v>
      </c>
      <c r="T85" s="1354"/>
      <c r="U85" s="1355"/>
      <c r="V85" s="1202" t="s">
        <v>94</v>
      </c>
      <c r="W85" s="1354"/>
      <c r="X85" s="1354"/>
      <c r="Y85" s="685"/>
      <c r="Z85" s="3"/>
    </row>
    <row r="86" spans="1:26" ht="15" customHeight="1" thickBot="1" x14ac:dyDescent="0.35">
      <c r="A86" s="79"/>
      <c r="B86" s="79"/>
      <c r="C86" s="1352"/>
      <c r="D86" s="1352"/>
      <c r="E86" s="1352"/>
      <c r="F86" s="1352"/>
      <c r="G86" s="1352"/>
      <c r="H86" s="1352"/>
      <c r="I86" s="1353"/>
      <c r="J86" s="1356"/>
      <c r="K86" s="1061"/>
      <c r="L86" s="1057"/>
      <c r="M86" s="1356"/>
      <c r="N86" s="1061"/>
      <c r="O86" s="1057"/>
      <c r="P86" s="1356"/>
      <c r="Q86" s="1061"/>
      <c r="R86" s="1057"/>
      <c r="S86" s="1356"/>
      <c r="T86" s="1061"/>
      <c r="U86" s="1057"/>
      <c r="V86" s="1356"/>
      <c r="W86" s="1061"/>
      <c r="X86" s="1061"/>
      <c r="Y86" s="685"/>
      <c r="Z86" s="3"/>
    </row>
    <row r="87" spans="1:26" ht="15" customHeight="1" x14ac:dyDescent="0.3">
      <c r="A87" s="79"/>
      <c r="B87" s="79"/>
      <c r="C87" s="1426" t="s">
        <v>85</v>
      </c>
      <c r="D87" s="1426"/>
      <c r="E87" s="1426"/>
      <c r="F87" s="1426"/>
      <c r="G87" s="1426"/>
      <c r="H87" s="1426"/>
      <c r="I87" s="1427"/>
      <c r="J87" s="1406">
        <v>4100</v>
      </c>
      <c r="K87" s="1407"/>
      <c r="L87" s="1408"/>
      <c r="M87" s="1400"/>
      <c r="N87" s="1401"/>
      <c r="O87" s="1402"/>
      <c r="P87" s="1342">
        <f>((('Scheme Entry - Baseline'!$W$46*1000)/('Sensitivity 1'!$H$8))*2)*('Sensitivity 1'!$H$10/1000)*J87</f>
        <v>1126767.8571428573</v>
      </c>
      <c r="Q87" s="1343"/>
      <c r="R87" s="1344"/>
      <c r="S87" s="1493">
        <f>S10</f>
        <v>0.09</v>
      </c>
      <c r="T87" s="1407"/>
      <c r="U87" s="1408"/>
      <c r="V87" s="1409">
        <f>P87*S87</f>
        <v>101409.10714285714</v>
      </c>
      <c r="W87" s="1410"/>
      <c r="X87" s="1410"/>
      <c r="Y87" s="736"/>
      <c r="Z87" s="3"/>
    </row>
    <row r="88" spans="1:26" ht="15" customHeight="1" x14ac:dyDescent="0.3">
      <c r="A88" s="79"/>
      <c r="B88" s="79"/>
      <c r="C88" s="1411" t="s">
        <v>86</v>
      </c>
      <c r="D88" s="1411"/>
      <c r="E88" s="1411"/>
      <c r="F88" s="1411"/>
      <c r="G88" s="1411"/>
      <c r="H88" s="1412" t="s">
        <v>87</v>
      </c>
      <c r="I88" s="1413"/>
      <c r="J88" s="1452">
        <f>J79</f>
        <v>779</v>
      </c>
      <c r="K88" s="1453"/>
      <c r="L88" s="1454"/>
      <c r="M88" s="1417"/>
      <c r="N88" s="1418"/>
      <c r="O88" s="1419"/>
      <c r="P88" s="1420">
        <f>((('Scheme Entry - Baseline'!$W$46*1000)/('Scheme Entry - Baseline'!$W$9))*Overview!$E$29)*('Scheme Entry - Baseline'!$W$11/1000)*J88</f>
        <v>214085.8928571429</v>
      </c>
      <c r="Q88" s="1421"/>
      <c r="R88" s="1422"/>
      <c r="S88" s="1498">
        <f>S10</f>
        <v>0.09</v>
      </c>
      <c r="T88" s="1424"/>
      <c r="U88" s="1425"/>
      <c r="V88" s="1428">
        <f>P88*S88</f>
        <v>19267.73035714286</v>
      </c>
      <c r="W88" s="1429"/>
      <c r="X88" s="1429"/>
      <c r="Y88" s="690"/>
      <c r="Z88" s="3"/>
    </row>
    <row r="89" spans="1:26" ht="15" customHeight="1" x14ac:dyDescent="0.3">
      <c r="A89" s="79"/>
      <c r="B89" s="79"/>
      <c r="C89" s="1430"/>
      <c r="D89" s="1430"/>
      <c r="E89" s="1430"/>
      <c r="F89" s="1430"/>
      <c r="G89" s="1430"/>
      <c r="H89" s="1052" t="s">
        <v>124</v>
      </c>
      <c r="I89" s="1431"/>
      <c r="J89" s="1449">
        <f>J80</f>
        <v>205</v>
      </c>
      <c r="K89" s="1450"/>
      <c r="L89" s="1451"/>
      <c r="M89" s="1435">
        <v>0.33</v>
      </c>
      <c r="N89" s="1436"/>
      <c r="O89" s="1437"/>
      <c r="P89" s="1438">
        <f>((('Scheme Entry - Baseline'!$W$46*1000)/('Scheme Entry - Baseline'!$W$9))*Overview!$E$29)*('Scheme Entry - Baseline'!$W$11*J89/1000)*(100%-M89)</f>
        <v>37746.72321428571</v>
      </c>
      <c r="Q89" s="1439"/>
      <c r="R89" s="1440"/>
      <c r="S89" s="1497">
        <f>S10</f>
        <v>0.09</v>
      </c>
      <c r="T89" s="1442"/>
      <c r="U89" s="1443"/>
      <c r="V89" s="1444">
        <f>P89*S89</f>
        <v>3397.2050892857137</v>
      </c>
      <c r="W89" s="1445"/>
      <c r="X89" s="1445"/>
      <c r="Y89" s="690"/>
      <c r="Z89" s="3"/>
    </row>
    <row r="90" spans="1:26" ht="15" customHeight="1" x14ac:dyDescent="0.3">
      <c r="A90" s="79"/>
      <c r="B90" s="79"/>
      <c r="C90" s="498"/>
      <c r="D90" s="498"/>
      <c r="E90" s="498"/>
      <c r="F90" s="498"/>
      <c r="G90" s="498"/>
      <c r="H90" s="497"/>
      <c r="I90" s="497" t="s">
        <v>125</v>
      </c>
      <c r="J90" s="1449">
        <f>J81</f>
        <v>3116</v>
      </c>
      <c r="K90" s="1450"/>
      <c r="L90" s="1451"/>
      <c r="M90" s="1435">
        <v>0.5</v>
      </c>
      <c r="N90" s="1436"/>
      <c r="O90" s="1437"/>
      <c r="P90" s="1438">
        <f>((('Scheme Entry - Baseline'!$W$46*1000)/('Scheme Entry - Baseline'!$W$9))*Overview!$E$29)*('Scheme Entry - Baseline'!$W$11*J90/1000)*(100%-M90)</f>
        <v>428171.78571428574</v>
      </c>
      <c r="Q90" s="1439"/>
      <c r="R90" s="1440"/>
      <c r="S90" s="1497">
        <f>S10</f>
        <v>0.09</v>
      </c>
      <c r="T90" s="1442"/>
      <c r="U90" s="1443"/>
      <c r="V90" s="1444">
        <f>P90*S90</f>
        <v>38535.460714285713</v>
      </c>
      <c r="W90" s="1445"/>
      <c r="X90" s="1445"/>
      <c r="Y90" s="690"/>
      <c r="Z90" s="3"/>
    </row>
    <row r="91" spans="1:26" ht="15" customHeight="1" thickBot="1" x14ac:dyDescent="0.35">
      <c r="A91" s="79"/>
      <c r="B91" s="79"/>
      <c r="C91" s="1387"/>
      <c r="D91" s="1387"/>
      <c r="E91" s="1387"/>
      <c r="F91" s="1387"/>
      <c r="G91" s="1387"/>
      <c r="H91" s="1387"/>
      <c r="I91" s="1387"/>
      <c r="J91" s="1389">
        <f>SUM(J88:L90)</f>
        <v>4100</v>
      </c>
      <c r="K91" s="1390"/>
      <c r="L91" s="1391"/>
      <c r="M91" s="1392"/>
      <c r="N91" s="1393"/>
      <c r="O91" s="1394"/>
      <c r="P91" s="1395">
        <f>SUM(P88:R90)</f>
        <v>680004.40178571432</v>
      </c>
      <c r="Q91" s="1396"/>
      <c r="R91" s="1397"/>
      <c r="S91" s="1392"/>
      <c r="T91" s="1393"/>
      <c r="U91" s="1394"/>
      <c r="V91" s="1385">
        <f>SUM(V88:X90)</f>
        <v>61200.396160714285</v>
      </c>
      <c r="W91" s="1386"/>
      <c r="X91" s="1386"/>
      <c r="Y91" s="111"/>
      <c r="Z91" s="3"/>
    </row>
    <row r="92" spans="1:26" ht="15" customHeight="1" x14ac:dyDescent="0.3">
      <c r="A92" s="3"/>
      <c r="B92" s="930"/>
      <c r="C92" s="931"/>
      <c r="D92" s="931"/>
      <c r="E92" s="931"/>
      <c r="F92" s="931"/>
      <c r="G92" s="931"/>
      <c r="H92" s="931"/>
      <c r="I92" s="931"/>
      <c r="J92" s="931"/>
      <c r="K92" s="931"/>
      <c r="L92" s="931"/>
      <c r="M92" s="931"/>
      <c r="N92" s="931"/>
      <c r="O92" s="931"/>
      <c r="P92" s="931"/>
      <c r="Q92" s="931"/>
      <c r="R92" s="931"/>
      <c r="S92" s="931"/>
      <c r="T92" s="931"/>
      <c r="U92" s="931"/>
      <c r="V92" s="931"/>
      <c r="W92" s="931"/>
      <c r="X92" s="3"/>
      <c r="Y92" s="3"/>
      <c r="Z92" s="3"/>
    </row>
    <row r="93" spans="1:26" ht="15" customHeight="1" x14ac:dyDescent="0.3">
      <c r="A93" s="3"/>
      <c r="B93" s="677"/>
      <c r="C93" s="677"/>
      <c r="D93" s="677"/>
      <c r="E93" s="677"/>
      <c r="F93" s="677"/>
      <c r="G93" s="677"/>
      <c r="H93" s="677"/>
      <c r="I93" s="677"/>
      <c r="J93" s="677"/>
      <c r="K93" s="677"/>
      <c r="L93" s="677"/>
      <c r="M93" s="677"/>
      <c r="N93" s="677"/>
      <c r="O93" s="677"/>
      <c r="P93" s="677"/>
      <c r="Q93" s="677"/>
      <c r="R93" s="677"/>
      <c r="S93" s="677"/>
      <c r="T93" s="677"/>
      <c r="U93" s="677"/>
      <c r="V93" s="677"/>
      <c r="W93" s="677"/>
      <c r="X93" s="3"/>
      <c r="Y93" s="3"/>
      <c r="Z93" s="3"/>
    </row>
    <row r="94" spans="1:26" ht="15" customHeight="1" x14ac:dyDescent="0.3">
      <c r="A94" s="3"/>
      <c r="B94" s="677"/>
      <c r="C94" s="677"/>
      <c r="D94" s="677"/>
      <c r="E94" s="677"/>
      <c r="F94" s="677"/>
      <c r="G94" s="677"/>
      <c r="H94" s="677"/>
      <c r="I94" s="677"/>
      <c r="J94" s="677"/>
      <c r="K94" s="677"/>
      <c r="L94" s="677"/>
      <c r="M94" s="677"/>
      <c r="N94" s="677"/>
      <c r="O94" s="677"/>
      <c r="P94" s="677"/>
      <c r="Q94" s="677"/>
      <c r="R94" s="677"/>
      <c r="S94" s="677"/>
      <c r="T94" s="677"/>
      <c r="U94" s="677"/>
      <c r="V94" s="677"/>
      <c r="W94" s="677"/>
      <c r="X94" s="3"/>
      <c r="Y94" s="3"/>
      <c r="Z94" s="3"/>
    </row>
    <row r="95" spans="1:26" ht="15" customHeight="1" x14ac:dyDescent="0.3">
      <c r="A95" s="3"/>
      <c r="B95" s="677"/>
      <c r="C95" s="677"/>
      <c r="D95" s="677"/>
      <c r="E95" s="677"/>
      <c r="F95" s="677"/>
      <c r="G95" s="677"/>
      <c r="H95" s="677"/>
      <c r="I95" s="677"/>
      <c r="J95" s="677"/>
      <c r="K95" s="677"/>
      <c r="L95" s="677"/>
      <c r="M95" s="677"/>
      <c r="N95" s="677"/>
      <c r="O95" s="677"/>
      <c r="P95" s="677"/>
      <c r="Q95" s="677"/>
      <c r="R95" s="677"/>
      <c r="S95" s="677"/>
      <c r="T95" s="677"/>
      <c r="U95" s="677"/>
      <c r="V95" s="677"/>
      <c r="W95" s="677"/>
      <c r="X95" s="3"/>
      <c r="Y95" s="3"/>
      <c r="Z95" s="3"/>
    </row>
    <row r="96" spans="1:26" ht="15" customHeight="1" x14ac:dyDescent="0.3">
      <c r="A96" s="15"/>
      <c r="B96" s="107"/>
      <c r="C96" s="107"/>
      <c r="D96" s="107"/>
      <c r="E96" s="107"/>
      <c r="F96" s="107"/>
      <c r="G96" s="107"/>
      <c r="H96" s="107"/>
      <c r="I96" s="107"/>
      <c r="J96" s="107"/>
      <c r="K96" s="107"/>
      <c r="L96" s="107"/>
      <c r="M96" s="107"/>
      <c r="N96" s="107"/>
      <c r="O96" s="107"/>
      <c r="P96" s="107"/>
      <c r="Q96" s="107"/>
      <c r="R96" s="107"/>
      <c r="S96" s="107"/>
      <c r="T96" s="107"/>
      <c r="U96" s="107"/>
      <c r="V96" s="107"/>
      <c r="W96" s="107"/>
      <c r="X96" s="15"/>
      <c r="Y96" s="15"/>
      <c r="Z96" s="15"/>
    </row>
    <row r="97" spans="1:26" ht="15" customHeight="1" x14ac:dyDescent="0.3">
      <c r="A97" s="1"/>
      <c r="B97" s="108"/>
      <c r="C97" s="108"/>
      <c r="D97" s="108"/>
      <c r="E97" s="108"/>
      <c r="F97" s="108"/>
      <c r="G97" s="108"/>
      <c r="H97" s="108"/>
      <c r="I97" s="108"/>
      <c r="J97" s="108"/>
      <c r="K97" s="108"/>
      <c r="L97" s="108"/>
      <c r="M97" s="108"/>
      <c r="N97" s="108"/>
      <c r="O97" s="108"/>
      <c r="P97" s="108"/>
      <c r="Q97" s="108"/>
      <c r="R97" s="108"/>
      <c r="S97" s="108"/>
      <c r="T97" s="108"/>
      <c r="U97" s="108"/>
      <c r="V97" s="108"/>
      <c r="W97" s="108"/>
      <c r="X97" s="1"/>
      <c r="Y97" s="1"/>
      <c r="Z97" s="1"/>
    </row>
    <row r="98" spans="1:26" ht="15" customHeight="1" x14ac:dyDescent="0.3">
      <c r="A98" s="79"/>
      <c r="B98" s="115" t="s">
        <v>128</v>
      </c>
      <c r="C98" s="3"/>
      <c r="D98" s="3"/>
      <c r="E98" s="3"/>
      <c r="F98" s="3"/>
      <c r="G98" s="3"/>
      <c r="H98" s="3"/>
      <c r="I98" s="3"/>
      <c r="J98" s="3"/>
      <c r="K98" s="3"/>
      <c r="L98" s="3"/>
      <c r="M98" s="22"/>
      <c r="N98" s="3"/>
      <c r="O98" s="3"/>
      <c r="P98" s="3"/>
      <c r="Q98" s="3"/>
      <c r="R98" s="3"/>
      <c r="S98" s="3"/>
      <c r="T98" s="3"/>
      <c r="U98" s="3"/>
      <c r="V98" s="3"/>
      <c r="W98" s="3"/>
      <c r="X98" s="3"/>
      <c r="Y98" s="3"/>
      <c r="Z98" s="3"/>
    </row>
    <row r="99" spans="1:26" ht="15" customHeight="1" x14ac:dyDescent="0.3">
      <c r="A99" s="79"/>
      <c r="B99" s="31"/>
      <c r="C99" s="1350" t="s">
        <v>37</v>
      </c>
      <c r="D99" s="1350"/>
      <c r="E99" s="1350"/>
      <c r="F99" s="1350"/>
      <c r="G99" s="1350"/>
      <c r="H99" s="1350"/>
      <c r="I99" s="1351"/>
      <c r="J99" s="1202" t="s">
        <v>90</v>
      </c>
      <c r="K99" s="1354"/>
      <c r="L99" s="1355"/>
      <c r="M99" s="1202" t="s">
        <v>91</v>
      </c>
      <c r="N99" s="1354"/>
      <c r="O99" s="1355"/>
      <c r="P99" s="1202" t="s">
        <v>92</v>
      </c>
      <c r="Q99" s="1354"/>
      <c r="R99" s="1355"/>
      <c r="S99" s="1202" t="s">
        <v>93</v>
      </c>
      <c r="T99" s="1354"/>
      <c r="U99" s="1355"/>
      <c r="V99" s="1202" t="s">
        <v>94</v>
      </c>
      <c r="W99" s="1354"/>
      <c r="X99" s="1354"/>
      <c r="Y99" s="685"/>
      <c r="Z99" s="3"/>
    </row>
    <row r="100" spans="1:26" ht="15" customHeight="1" thickBot="1" x14ac:dyDescent="0.35">
      <c r="A100" s="79"/>
      <c r="B100" s="79"/>
      <c r="C100" s="1352"/>
      <c r="D100" s="1352"/>
      <c r="E100" s="1352"/>
      <c r="F100" s="1352"/>
      <c r="G100" s="1352"/>
      <c r="H100" s="1352"/>
      <c r="I100" s="1353"/>
      <c r="J100" s="1356"/>
      <c r="K100" s="1061"/>
      <c r="L100" s="1057"/>
      <c r="M100" s="1356"/>
      <c r="N100" s="1061"/>
      <c r="O100" s="1057"/>
      <c r="P100" s="1356"/>
      <c r="Q100" s="1061"/>
      <c r="R100" s="1057"/>
      <c r="S100" s="1356"/>
      <c r="T100" s="1061"/>
      <c r="U100" s="1057"/>
      <c r="V100" s="1356"/>
      <c r="W100" s="1061"/>
      <c r="X100" s="1061"/>
      <c r="Y100" s="685"/>
      <c r="Z100" s="3"/>
    </row>
    <row r="101" spans="1:26" ht="15" customHeight="1" x14ac:dyDescent="0.3">
      <c r="A101" s="79"/>
      <c r="B101" s="79"/>
      <c r="C101" s="1426" t="s">
        <v>85</v>
      </c>
      <c r="D101" s="1426"/>
      <c r="E101" s="1426"/>
      <c r="F101" s="1426"/>
      <c r="G101" s="1426"/>
      <c r="H101" s="1426"/>
      <c r="I101" s="1427"/>
      <c r="J101" s="1406">
        <v>4100</v>
      </c>
      <c r="K101" s="1407"/>
      <c r="L101" s="1408"/>
      <c r="M101" s="1400"/>
      <c r="N101" s="1401"/>
      <c r="O101" s="1402"/>
      <c r="P101" s="1342">
        <f>P10</f>
        <v>1126767.8571428573</v>
      </c>
      <c r="Q101" s="1343"/>
      <c r="R101" s="1344"/>
      <c r="S101" s="1493">
        <f>S10</f>
        <v>0.09</v>
      </c>
      <c r="T101" s="1407"/>
      <c r="U101" s="1408"/>
      <c r="V101" s="1409">
        <f>P101*S101</f>
        <v>101409.10714285714</v>
      </c>
      <c r="W101" s="1410"/>
      <c r="X101" s="1410"/>
      <c r="Y101" s="736"/>
      <c r="Z101" s="3"/>
    </row>
    <row r="102" spans="1:26" ht="15" customHeight="1" x14ac:dyDescent="0.3">
      <c r="A102" s="79"/>
      <c r="B102" s="79"/>
      <c r="C102" s="1411" t="s">
        <v>86</v>
      </c>
      <c r="D102" s="1411"/>
      <c r="E102" s="1411"/>
      <c r="F102" s="1411"/>
      <c r="G102" s="1411"/>
      <c r="H102" s="1412" t="s">
        <v>87</v>
      </c>
      <c r="I102" s="1413"/>
      <c r="J102" s="1452">
        <f>J79</f>
        <v>779</v>
      </c>
      <c r="K102" s="1453"/>
      <c r="L102" s="1454"/>
      <c r="M102" s="1417"/>
      <c r="N102" s="1418"/>
      <c r="O102" s="1419"/>
      <c r="P102" s="1420">
        <f>((('Scheme Entry - Baseline'!$W$46*1000)/('Scheme Entry - Baseline'!$W$9))*Overview!$E$29)*('Scheme Entry - Baseline'!$W$11/1000)*J102</f>
        <v>214085.8928571429</v>
      </c>
      <c r="Q102" s="1421"/>
      <c r="R102" s="1422"/>
      <c r="S102" s="1498">
        <f>S10</f>
        <v>0.09</v>
      </c>
      <c r="T102" s="1424"/>
      <c r="U102" s="1425"/>
      <c r="V102" s="1428">
        <f>P102*S102</f>
        <v>19267.73035714286</v>
      </c>
      <c r="W102" s="1429"/>
      <c r="X102" s="1429"/>
      <c r="Y102" s="690"/>
      <c r="Z102" s="3"/>
    </row>
    <row r="103" spans="1:26" ht="15" customHeight="1" x14ac:dyDescent="0.3">
      <c r="A103" s="79"/>
      <c r="B103" s="79"/>
      <c r="C103" s="1430"/>
      <c r="D103" s="1430"/>
      <c r="E103" s="1430"/>
      <c r="F103" s="1430"/>
      <c r="G103" s="1430"/>
      <c r="H103" s="1052" t="s">
        <v>124</v>
      </c>
      <c r="I103" s="1431"/>
      <c r="J103" s="1449">
        <f>J80</f>
        <v>205</v>
      </c>
      <c r="K103" s="1450"/>
      <c r="L103" s="1451"/>
      <c r="M103" s="1435">
        <v>0.36</v>
      </c>
      <c r="N103" s="1436"/>
      <c r="O103" s="1437"/>
      <c r="P103" s="1438">
        <f>((('Scheme Entry - Baseline'!$W$46*1000)/('Scheme Entry - Baseline'!$W$9))*Overview!$E$29)*('Scheme Entry - Baseline'!$W$11*J103/1000)*(100%-M103)</f>
        <v>36056.571428571428</v>
      </c>
      <c r="Q103" s="1439"/>
      <c r="R103" s="1440"/>
      <c r="S103" s="1497">
        <f>S10</f>
        <v>0.09</v>
      </c>
      <c r="T103" s="1442"/>
      <c r="U103" s="1443"/>
      <c r="V103" s="1444">
        <f>P103*S103</f>
        <v>3245.0914285714284</v>
      </c>
      <c r="W103" s="1445"/>
      <c r="X103" s="1445"/>
      <c r="Y103" s="690"/>
      <c r="Z103" s="3"/>
    </row>
    <row r="104" spans="1:26" ht="15" customHeight="1" x14ac:dyDescent="0.3">
      <c r="A104" s="79"/>
      <c r="B104" s="79"/>
      <c r="C104" s="498"/>
      <c r="D104" s="498"/>
      <c r="E104" s="498"/>
      <c r="F104" s="498"/>
      <c r="G104" s="498"/>
      <c r="H104" s="497"/>
      <c r="I104" s="497" t="s">
        <v>125</v>
      </c>
      <c r="J104" s="1449">
        <f>J81</f>
        <v>3116</v>
      </c>
      <c r="K104" s="1450"/>
      <c r="L104" s="1451"/>
      <c r="M104" s="1435">
        <v>0.53</v>
      </c>
      <c r="N104" s="1436"/>
      <c r="O104" s="1437"/>
      <c r="P104" s="1438">
        <f>((('Scheme Entry - Baseline'!$W$46*1000)/('Scheme Entry - Baseline'!$W$9))*Overview!$E$29)*('Scheme Entry - Baseline'!$W$11*J104/1000)*(100%-M104)</f>
        <v>402481.47857142857</v>
      </c>
      <c r="Q104" s="1439"/>
      <c r="R104" s="1440"/>
      <c r="S104" s="1497">
        <f>S10</f>
        <v>0.09</v>
      </c>
      <c r="T104" s="1442"/>
      <c r="U104" s="1443"/>
      <c r="V104" s="1444">
        <f>P104*S104</f>
        <v>36223.333071428569</v>
      </c>
      <c r="W104" s="1445"/>
      <c r="X104" s="1445"/>
      <c r="Y104" s="690"/>
      <c r="Z104" s="3"/>
    </row>
    <row r="105" spans="1:26" ht="15" customHeight="1" thickBot="1" x14ac:dyDescent="0.35">
      <c r="A105" s="79"/>
      <c r="B105" s="79"/>
      <c r="C105" s="1387"/>
      <c r="D105" s="1387"/>
      <c r="E105" s="1387"/>
      <c r="F105" s="1387"/>
      <c r="G105" s="1387"/>
      <c r="H105" s="1387"/>
      <c r="I105" s="1387"/>
      <c r="J105" s="1389">
        <f>SUM(J102:L104)</f>
        <v>4100</v>
      </c>
      <c r="K105" s="1390"/>
      <c r="L105" s="1391"/>
      <c r="M105" s="1392"/>
      <c r="N105" s="1393"/>
      <c r="O105" s="1394"/>
      <c r="P105" s="1395">
        <f>SUM(P102:R104)</f>
        <v>652623.94285714289</v>
      </c>
      <c r="Q105" s="1396"/>
      <c r="R105" s="1397"/>
      <c r="S105" s="1392"/>
      <c r="T105" s="1393"/>
      <c r="U105" s="1394"/>
      <c r="V105" s="1385">
        <f>SUM(V102:X104)</f>
        <v>58736.154857142858</v>
      </c>
      <c r="W105" s="1386"/>
      <c r="X105" s="1386"/>
      <c r="Y105" s="111"/>
      <c r="Z105" s="3"/>
    </row>
    <row r="106" spans="1:26" ht="15" customHeight="1" x14ac:dyDescent="0.3">
      <c r="A106" s="3"/>
      <c r="B106" s="930"/>
      <c r="C106" s="931"/>
      <c r="D106" s="931"/>
      <c r="E106" s="931"/>
      <c r="F106" s="931"/>
      <c r="G106" s="931"/>
      <c r="H106" s="931"/>
      <c r="I106" s="931"/>
      <c r="J106" s="931"/>
      <c r="K106" s="931"/>
      <c r="L106" s="931"/>
      <c r="M106" s="931"/>
      <c r="N106" s="931"/>
      <c r="O106" s="931"/>
      <c r="P106" s="931"/>
      <c r="Q106" s="931"/>
      <c r="R106" s="931"/>
      <c r="S106" s="931"/>
      <c r="T106" s="931"/>
      <c r="U106" s="931"/>
      <c r="V106" s="931"/>
      <c r="W106" s="931"/>
      <c r="X106" s="3"/>
      <c r="Y106" s="3"/>
      <c r="Z106" s="3"/>
    </row>
    <row r="107" spans="1:26" ht="15" customHeight="1" x14ac:dyDescent="0.3">
      <c r="A107" s="79"/>
      <c r="B107" s="119" t="s">
        <v>129</v>
      </c>
      <c r="C107" s="3"/>
      <c r="D107" s="3"/>
      <c r="E107" s="3"/>
      <c r="F107" s="3"/>
      <c r="G107" s="3"/>
      <c r="H107" s="3"/>
      <c r="I107" s="3"/>
      <c r="J107" s="3"/>
      <c r="K107" s="3"/>
      <c r="L107" s="3"/>
      <c r="M107" s="22"/>
      <c r="N107" s="3"/>
      <c r="O107" s="3"/>
      <c r="P107" s="3"/>
      <c r="Q107" s="3"/>
      <c r="R107" s="3"/>
      <c r="S107" s="3"/>
      <c r="T107" s="3"/>
      <c r="U107" s="3"/>
      <c r="V107" s="3"/>
      <c r="W107" s="3"/>
      <c r="X107" s="3"/>
      <c r="Y107" s="3"/>
      <c r="Z107" s="3"/>
    </row>
    <row r="108" spans="1:26" ht="15" customHeight="1" x14ac:dyDescent="0.3">
      <c r="A108" s="79"/>
      <c r="B108" s="31"/>
      <c r="C108" s="1350" t="s">
        <v>37</v>
      </c>
      <c r="D108" s="1350"/>
      <c r="E108" s="1350"/>
      <c r="F108" s="1350"/>
      <c r="G108" s="1350"/>
      <c r="H108" s="1350"/>
      <c r="I108" s="1351"/>
      <c r="J108" s="1202" t="s">
        <v>90</v>
      </c>
      <c r="K108" s="1354"/>
      <c r="L108" s="1355"/>
      <c r="M108" s="1202" t="s">
        <v>91</v>
      </c>
      <c r="N108" s="1354"/>
      <c r="O108" s="1355"/>
      <c r="P108" s="1202" t="s">
        <v>92</v>
      </c>
      <c r="Q108" s="1354"/>
      <c r="R108" s="1355"/>
      <c r="S108" s="1202" t="s">
        <v>93</v>
      </c>
      <c r="T108" s="1354"/>
      <c r="U108" s="1355"/>
      <c r="V108" s="1202" t="s">
        <v>94</v>
      </c>
      <c r="W108" s="1354"/>
      <c r="X108" s="1354"/>
      <c r="Y108" s="685"/>
      <c r="Z108" s="3"/>
    </row>
    <row r="109" spans="1:26" ht="15" customHeight="1" thickBot="1" x14ac:dyDescent="0.35">
      <c r="A109" s="79"/>
      <c r="B109" s="79"/>
      <c r="C109" s="1352"/>
      <c r="D109" s="1352"/>
      <c r="E109" s="1352"/>
      <c r="F109" s="1352"/>
      <c r="G109" s="1352"/>
      <c r="H109" s="1352"/>
      <c r="I109" s="1353"/>
      <c r="J109" s="1356"/>
      <c r="K109" s="1061"/>
      <c r="L109" s="1057"/>
      <c r="M109" s="1356"/>
      <c r="N109" s="1061"/>
      <c r="O109" s="1057"/>
      <c r="P109" s="1356"/>
      <c r="Q109" s="1061"/>
      <c r="R109" s="1057"/>
      <c r="S109" s="1356"/>
      <c r="T109" s="1061"/>
      <c r="U109" s="1057"/>
      <c r="V109" s="1356"/>
      <c r="W109" s="1061"/>
      <c r="X109" s="1061"/>
      <c r="Y109" s="685"/>
      <c r="Z109" s="3"/>
    </row>
    <row r="110" spans="1:26" ht="15" customHeight="1" x14ac:dyDescent="0.3">
      <c r="A110" s="79"/>
      <c r="B110" s="79"/>
      <c r="C110" s="1426" t="s">
        <v>85</v>
      </c>
      <c r="D110" s="1426"/>
      <c r="E110" s="1426"/>
      <c r="F110" s="1426"/>
      <c r="G110" s="1426"/>
      <c r="H110" s="1426"/>
      <c r="I110" s="1427"/>
      <c r="J110" s="1406">
        <v>4100</v>
      </c>
      <c r="K110" s="1407"/>
      <c r="L110" s="1408"/>
      <c r="M110" s="1400"/>
      <c r="N110" s="1401"/>
      <c r="O110" s="1402"/>
      <c r="P110" s="1342">
        <f>P10</f>
        <v>1126767.8571428573</v>
      </c>
      <c r="Q110" s="1343"/>
      <c r="R110" s="1344"/>
      <c r="S110" s="1493">
        <f>S10</f>
        <v>0.09</v>
      </c>
      <c r="T110" s="1407"/>
      <c r="U110" s="1408"/>
      <c r="V110" s="1409">
        <f>P110*S110</f>
        <v>101409.10714285714</v>
      </c>
      <c r="W110" s="1410"/>
      <c r="X110" s="1410"/>
      <c r="Y110" s="736"/>
      <c r="Z110" s="3"/>
    </row>
    <row r="111" spans="1:26" ht="15" customHeight="1" x14ac:dyDescent="0.3">
      <c r="A111" s="79"/>
      <c r="B111" s="79"/>
      <c r="C111" s="1411" t="s">
        <v>86</v>
      </c>
      <c r="D111" s="1411"/>
      <c r="E111" s="1411"/>
      <c r="F111" s="1411"/>
      <c r="G111" s="1411"/>
      <c r="H111" s="1412" t="s">
        <v>87</v>
      </c>
      <c r="I111" s="1413"/>
      <c r="J111" s="1452">
        <f>J79</f>
        <v>779</v>
      </c>
      <c r="K111" s="1453"/>
      <c r="L111" s="1454"/>
      <c r="M111" s="1417"/>
      <c r="N111" s="1418"/>
      <c r="O111" s="1419"/>
      <c r="P111" s="1420">
        <f>((('Scheme Entry - Baseline'!$W$46*1000)/('Scheme Entry - Baseline'!$W$9))*Overview!$E$29)*('Scheme Entry - Baseline'!$W$11/1000)*J111</f>
        <v>214085.8928571429</v>
      </c>
      <c r="Q111" s="1421"/>
      <c r="R111" s="1422"/>
      <c r="S111" s="1498">
        <f>S10</f>
        <v>0.09</v>
      </c>
      <c r="T111" s="1424"/>
      <c r="U111" s="1425"/>
      <c r="V111" s="1428">
        <f>P111*S111</f>
        <v>19267.73035714286</v>
      </c>
      <c r="W111" s="1429"/>
      <c r="X111" s="1429"/>
      <c r="Y111" s="690"/>
      <c r="Z111" s="3"/>
    </row>
    <row r="112" spans="1:26" ht="15" customHeight="1" x14ac:dyDescent="0.3">
      <c r="A112" s="79"/>
      <c r="B112" s="79"/>
      <c r="C112" s="1430"/>
      <c r="D112" s="1430"/>
      <c r="E112" s="1430"/>
      <c r="F112" s="1430"/>
      <c r="G112" s="1430"/>
      <c r="H112" s="1052" t="s">
        <v>124</v>
      </c>
      <c r="I112" s="1431"/>
      <c r="J112" s="1449">
        <f>J80</f>
        <v>205</v>
      </c>
      <c r="K112" s="1450"/>
      <c r="L112" s="1451"/>
      <c r="M112" s="1435">
        <v>0.34</v>
      </c>
      <c r="N112" s="1436"/>
      <c r="O112" s="1437"/>
      <c r="P112" s="1438">
        <f>((('Scheme Entry - Baseline'!$W$46*1000)/('Scheme Entry - Baseline'!$W$9))*Overview!$E$29)*('Scheme Entry - Baseline'!$W$11*J112/1000)*(100%-M112)</f>
        <v>37183.339285714283</v>
      </c>
      <c r="Q112" s="1439"/>
      <c r="R112" s="1440"/>
      <c r="S112" s="1497">
        <f>S10</f>
        <v>0.09</v>
      </c>
      <c r="T112" s="1442"/>
      <c r="U112" s="1443"/>
      <c r="V112" s="1444">
        <f>P112*S112</f>
        <v>3346.5005357142854</v>
      </c>
      <c r="W112" s="1445"/>
      <c r="X112" s="1445"/>
      <c r="Y112" s="690"/>
      <c r="Z112" s="3"/>
    </row>
    <row r="113" spans="1:26" ht="15" customHeight="1" x14ac:dyDescent="0.3">
      <c r="A113" s="79"/>
      <c r="B113" s="79"/>
      <c r="C113" s="498"/>
      <c r="D113" s="498"/>
      <c r="E113" s="498"/>
      <c r="F113" s="498"/>
      <c r="G113" s="498"/>
      <c r="H113" s="497"/>
      <c r="I113" s="497" t="s">
        <v>125</v>
      </c>
      <c r="J113" s="1449">
        <f>J81</f>
        <v>3116</v>
      </c>
      <c r="K113" s="1450"/>
      <c r="L113" s="1451"/>
      <c r="M113" s="1435">
        <v>0.64</v>
      </c>
      <c r="N113" s="1436"/>
      <c r="O113" s="1437"/>
      <c r="P113" s="1438">
        <f>((('Scheme Entry - Baseline'!$W$46*1000)/('Scheme Entry - Baseline'!$W$9))*Overview!$E$29)*('Scheme Entry - Baseline'!$W$11*J113/1000)*(100%-M113)</f>
        <v>308283.6857142857</v>
      </c>
      <c r="Q113" s="1439"/>
      <c r="R113" s="1440"/>
      <c r="S113" s="1497">
        <f>S10</f>
        <v>0.09</v>
      </c>
      <c r="T113" s="1442"/>
      <c r="U113" s="1443"/>
      <c r="V113" s="1444">
        <f>P113*S113</f>
        <v>27745.531714285713</v>
      </c>
      <c r="W113" s="1445"/>
      <c r="X113" s="1445"/>
      <c r="Y113" s="690"/>
      <c r="Z113" s="3"/>
    </row>
    <row r="114" spans="1:26" ht="15" customHeight="1" thickBot="1" x14ac:dyDescent="0.35">
      <c r="A114" s="79"/>
      <c r="B114" s="79"/>
      <c r="C114" s="1387"/>
      <c r="D114" s="1387"/>
      <c r="E114" s="1387"/>
      <c r="F114" s="1387"/>
      <c r="G114" s="1387"/>
      <c r="H114" s="1387"/>
      <c r="I114" s="1387"/>
      <c r="J114" s="1389">
        <f>SUM(J111:L113)</f>
        <v>4100</v>
      </c>
      <c r="K114" s="1390"/>
      <c r="L114" s="1391"/>
      <c r="M114" s="1392"/>
      <c r="N114" s="1393"/>
      <c r="O114" s="1394"/>
      <c r="P114" s="1395">
        <f>SUM(P111:R113)</f>
        <v>559552.91785714286</v>
      </c>
      <c r="Q114" s="1396"/>
      <c r="R114" s="1397"/>
      <c r="S114" s="1392"/>
      <c r="T114" s="1393"/>
      <c r="U114" s="1394"/>
      <c r="V114" s="1385">
        <f>SUM(V111:X113)</f>
        <v>50359.762607142853</v>
      </c>
      <c r="W114" s="1386"/>
      <c r="X114" s="1386"/>
      <c r="Y114" s="111"/>
      <c r="Z114" s="3"/>
    </row>
    <row r="115" spans="1:26" ht="15" customHeight="1" x14ac:dyDescent="0.3">
      <c r="A115" s="79"/>
      <c r="B115" s="79"/>
      <c r="C115" s="498"/>
      <c r="D115" s="498"/>
      <c r="E115" s="498"/>
      <c r="F115" s="498"/>
      <c r="G115" s="498"/>
      <c r="H115" s="498"/>
      <c r="I115" s="498"/>
      <c r="J115" s="109"/>
      <c r="K115" s="109"/>
      <c r="L115" s="109"/>
      <c r="M115" s="499"/>
      <c r="N115" s="499"/>
      <c r="O115" s="499"/>
      <c r="P115" s="110"/>
      <c r="Q115" s="110"/>
      <c r="R115" s="110"/>
      <c r="S115" s="499"/>
      <c r="T115" s="499"/>
      <c r="U115" s="499"/>
      <c r="V115" s="111"/>
      <c r="W115" s="111"/>
      <c r="X115" s="111"/>
      <c r="Y115" s="111"/>
      <c r="Z115" s="3"/>
    </row>
    <row r="116" spans="1:26" ht="15" customHeight="1" x14ac:dyDescent="0.3">
      <c r="A116" s="79"/>
      <c r="B116" s="30" t="s">
        <v>134</v>
      </c>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 customHeight="1" x14ac:dyDescent="0.3">
      <c r="A117" s="79"/>
      <c r="B117" s="31"/>
      <c r="C117" s="1350" t="s">
        <v>37</v>
      </c>
      <c r="D117" s="1350"/>
      <c r="E117" s="1350"/>
      <c r="F117" s="1350"/>
      <c r="G117" s="1350"/>
      <c r="H117" s="1350"/>
      <c r="I117" s="1351"/>
      <c r="J117" s="1202" t="s">
        <v>90</v>
      </c>
      <c r="K117" s="1354"/>
      <c r="L117" s="1355"/>
      <c r="M117" s="1202" t="s">
        <v>91</v>
      </c>
      <c r="N117" s="1354"/>
      <c r="O117" s="1355"/>
      <c r="P117" s="1202" t="s">
        <v>92</v>
      </c>
      <c r="Q117" s="1354"/>
      <c r="R117" s="1355"/>
      <c r="S117" s="1202" t="s">
        <v>93</v>
      </c>
      <c r="T117" s="1354"/>
      <c r="U117" s="1355"/>
      <c r="V117" s="1202" t="s">
        <v>94</v>
      </c>
      <c r="W117" s="1354"/>
      <c r="X117" s="1354"/>
      <c r="Y117" s="685"/>
      <c r="Z117" s="3"/>
    </row>
    <row r="118" spans="1:26" ht="15" customHeight="1" thickBot="1" x14ac:dyDescent="0.35">
      <c r="A118" s="79"/>
      <c r="B118" s="79"/>
      <c r="C118" s="1352"/>
      <c r="D118" s="1352"/>
      <c r="E118" s="1352"/>
      <c r="F118" s="1352"/>
      <c r="G118" s="1352"/>
      <c r="H118" s="1352"/>
      <c r="I118" s="1353"/>
      <c r="J118" s="1356"/>
      <c r="K118" s="1061"/>
      <c r="L118" s="1057"/>
      <c r="M118" s="1356"/>
      <c r="N118" s="1061"/>
      <c r="O118" s="1057"/>
      <c r="P118" s="1356"/>
      <c r="Q118" s="1061"/>
      <c r="R118" s="1057"/>
      <c r="S118" s="1356"/>
      <c r="T118" s="1061"/>
      <c r="U118" s="1057"/>
      <c r="V118" s="1356"/>
      <c r="W118" s="1061"/>
      <c r="X118" s="1061"/>
      <c r="Y118" s="685"/>
      <c r="Z118" s="3"/>
    </row>
    <row r="119" spans="1:26" ht="15" customHeight="1" x14ac:dyDescent="0.3">
      <c r="A119" s="79"/>
      <c r="B119" s="79"/>
      <c r="C119" s="1426" t="s">
        <v>85</v>
      </c>
      <c r="D119" s="1426"/>
      <c r="E119" s="1426"/>
      <c r="F119" s="1426"/>
      <c r="G119" s="1426"/>
      <c r="H119" s="1426"/>
      <c r="I119" s="1427"/>
      <c r="J119" s="1406">
        <v>4100</v>
      </c>
      <c r="K119" s="1407"/>
      <c r="L119" s="1408"/>
      <c r="M119" s="1400"/>
      <c r="N119" s="1401"/>
      <c r="O119" s="1402"/>
      <c r="P119" s="1342">
        <f>P10</f>
        <v>1126767.8571428573</v>
      </c>
      <c r="Q119" s="1343"/>
      <c r="R119" s="1344"/>
      <c r="S119" s="1493">
        <f>S10</f>
        <v>0.09</v>
      </c>
      <c r="T119" s="1407"/>
      <c r="U119" s="1408"/>
      <c r="V119" s="1409">
        <f>P119*S119</f>
        <v>101409.10714285714</v>
      </c>
      <c r="W119" s="1410"/>
      <c r="X119" s="1410"/>
      <c r="Y119" s="736"/>
      <c r="Z119" s="3"/>
    </row>
    <row r="120" spans="1:26" ht="15" customHeight="1" x14ac:dyDescent="0.3">
      <c r="A120" s="79"/>
      <c r="B120" s="79"/>
      <c r="C120" s="1411" t="s">
        <v>86</v>
      </c>
      <c r="D120" s="1411"/>
      <c r="E120" s="1411"/>
      <c r="F120" s="1411"/>
      <c r="G120" s="1411"/>
      <c r="H120" s="1412" t="s">
        <v>87</v>
      </c>
      <c r="I120" s="1413"/>
      <c r="J120" s="1458"/>
      <c r="K120" s="1459"/>
      <c r="L120" s="1460"/>
      <c r="M120" s="1417"/>
      <c r="N120" s="1418"/>
      <c r="O120" s="1419"/>
      <c r="P120" s="1420">
        <f>((('Scheme Entry - Baseline'!$W$46*1000)/('Scheme Entry - Baseline'!$W$9))*2)*'Scheme Entry - Baseline'!$W$11*J121</f>
        <v>137410.71428571429</v>
      </c>
      <c r="Q120" s="1421"/>
      <c r="R120" s="1422"/>
      <c r="S120" s="1498">
        <f>S10</f>
        <v>0.09</v>
      </c>
      <c r="T120" s="1424"/>
      <c r="U120" s="1425"/>
      <c r="V120" s="1428">
        <f>P120*S120</f>
        <v>12366.964285714286</v>
      </c>
      <c r="W120" s="1429"/>
      <c r="X120" s="1429"/>
      <c r="Y120" s="690"/>
      <c r="Z120" s="3"/>
    </row>
    <row r="121" spans="1:26" ht="15" customHeight="1" x14ac:dyDescent="0.3">
      <c r="A121" s="79"/>
      <c r="B121" s="79"/>
      <c r="C121" s="1430"/>
      <c r="D121" s="1430"/>
      <c r="E121" s="1430"/>
      <c r="F121" s="1430"/>
      <c r="G121" s="1430"/>
      <c r="H121" s="1052" t="s">
        <v>456</v>
      </c>
      <c r="I121" s="1431"/>
      <c r="J121" s="1461">
        <v>0.5</v>
      </c>
      <c r="K121" s="1462"/>
      <c r="L121" s="1463"/>
      <c r="M121" s="1464"/>
      <c r="N121" s="1465"/>
      <c r="O121" s="1466"/>
      <c r="P121" s="1438">
        <f>((('Scheme Entry - Baseline'!$W$46*1000)/('Scheme Entry - Baseline'!$W$9))*2)*'Scheme Entry - Baseline'!$W$11*J121*M121</f>
        <v>0</v>
      </c>
      <c r="Q121" s="1439"/>
      <c r="R121" s="1440"/>
      <c r="S121" s="1497">
        <f>S10</f>
        <v>0.09</v>
      </c>
      <c r="T121" s="1442"/>
      <c r="U121" s="1443"/>
      <c r="V121" s="1444">
        <f>P121*S121</f>
        <v>0</v>
      </c>
      <c r="W121" s="1445"/>
      <c r="X121" s="1445"/>
      <c r="Y121" s="690"/>
      <c r="Z121" s="3"/>
    </row>
    <row r="122" spans="1:26" ht="15" customHeight="1" thickBot="1" x14ac:dyDescent="0.35">
      <c r="A122" s="79"/>
      <c r="B122" s="79"/>
      <c r="C122" s="1387" t="s">
        <v>133</v>
      </c>
      <c r="D122" s="1387"/>
      <c r="E122" s="1387"/>
      <c r="F122" s="1387"/>
      <c r="G122" s="1387"/>
      <c r="H122" s="1387"/>
      <c r="I122" s="1387"/>
      <c r="J122" s="1389">
        <f>J119*J121</f>
        <v>2050</v>
      </c>
      <c r="K122" s="1390"/>
      <c r="L122" s="1391"/>
      <c r="M122" s="1392"/>
      <c r="N122" s="1393"/>
      <c r="O122" s="1394"/>
      <c r="P122" s="1479">
        <f>P119/2</f>
        <v>563383.92857142864</v>
      </c>
      <c r="Q122" s="1480"/>
      <c r="R122" s="1481"/>
      <c r="S122" s="1499">
        <f>S10</f>
        <v>0.09</v>
      </c>
      <c r="T122" s="1483"/>
      <c r="U122" s="1484"/>
      <c r="V122" s="1385">
        <f>P122*S122</f>
        <v>50704.553571428572</v>
      </c>
      <c r="W122" s="1386"/>
      <c r="X122" s="1386"/>
      <c r="Y122" s="111"/>
      <c r="Z122" s="3"/>
    </row>
    <row r="123" spans="1:26" ht="15" customHeight="1" x14ac:dyDescent="0.3">
      <c r="A123" s="3"/>
      <c r="B123" s="55"/>
      <c r="C123" s="931" t="s">
        <v>89</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677"/>
      <c r="Z123" s="3"/>
    </row>
    <row r="124" spans="1:26" ht="15" customHeight="1" x14ac:dyDescent="0.3">
      <c r="A124" s="3"/>
      <c r="B124" s="55"/>
      <c r="C124" s="677"/>
      <c r="D124" s="677"/>
      <c r="E124" s="677"/>
      <c r="F124" s="677"/>
      <c r="G124" s="677"/>
      <c r="H124" s="677"/>
      <c r="I124" s="677"/>
      <c r="J124" s="677"/>
      <c r="K124" s="677"/>
      <c r="L124" s="677"/>
      <c r="M124" s="677"/>
      <c r="N124" s="677"/>
      <c r="O124" s="677"/>
      <c r="P124" s="677"/>
      <c r="Q124" s="677"/>
      <c r="R124" s="677"/>
      <c r="S124" s="677"/>
      <c r="T124" s="677"/>
      <c r="U124" s="677"/>
      <c r="V124" s="677"/>
      <c r="W124" s="677"/>
      <c r="X124" s="677"/>
      <c r="Y124" s="677"/>
      <c r="Z124" s="3"/>
    </row>
    <row r="125" spans="1:26" ht="15" customHeight="1" x14ac:dyDescent="0.3">
      <c r="A125" s="3"/>
      <c r="B125" s="55"/>
      <c r="C125" s="677"/>
      <c r="D125" s="677"/>
      <c r="E125" s="677"/>
      <c r="F125" s="677"/>
      <c r="G125" s="677"/>
      <c r="H125" s="677"/>
      <c r="I125" s="677"/>
      <c r="J125" s="677"/>
      <c r="K125" s="677"/>
      <c r="L125" s="677"/>
      <c r="M125" s="677"/>
      <c r="N125" s="677"/>
      <c r="O125" s="677"/>
      <c r="P125" s="677"/>
      <c r="Q125" s="677"/>
      <c r="R125" s="677"/>
      <c r="S125" s="677"/>
      <c r="T125" s="677"/>
      <c r="U125" s="677"/>
      <c r="V125" s="677"/>
      <c r="W125" s="677"/>
      <c r="X125" s="677"/>
      <c r="Y125" s="677"/>
      <c r="Z125" s="3"/>
    </row>
    <row r="126" spans="1:26" ht="15" customHeight="1" x14ac:dyDescent="0.3">
      <c r="A126" s="3"/>
      <c r="B126" s="55"/>
      <c r="C126" s="677"/>
      <c r="D126" s="677"/>
      <c r="E126" s="677"/>
      <c r="F126" s="677"/>
      <c r="G126" s="677"/>
      <c r="H126" s="677"/>
      <c r="I126" s="677"/>
      <c r="J126" s="677"/>
      <c r="K126" s="677"/>
      <c r="L126" s="677"/>
      <c r="M126" s="677"/>
      <c r="N126" s="677"/>
      <c r="O126" s="677"/>
      <c r="P126" s="677"/>
      <c r="Q126" s="677"/>
      <c r="R126" s="677"/>
      <c r="S126" s="677"/>
      <c r="T126" s="677"/>
      <c r="U126" s="677"/>
      <c r="V126" s="677"/>
      <c r="W126" s="677"/>
      <c r="X126" s="677"/>
      <c r="Y126" s="677"/>
      <c r="Z126" s="3"/>
    </row>
    <row r="127" spans="1:26" ht="15" customHeight="1" x14ac:dyDescent="0.3">
      <c r="A127" s="3"/>
      <c r="B127" s="55"/>
      <c r="C127" s="496"/>
      <c r="D127" s="496"/>
      <c r="E127" s="496"/>
      <c r="F127" s="496"/>
      <c r="G127" s="496"/>
      <c r="H127" s="496"/>
      <c r="I127" s="496"/>
      <c r="J127" s="496"/>
      <c r="K127" s="496"/>
      <c r="L127" s="496"/>
      <c r="M127" s="496"/>
      <c r="N127" s="496"/>
      <c r="O127" s="496"/>
      <c r="P127" s="496"/>
      <c r="Q127" s="496"/>
      <c r="R127" s="496"/>
      <c r="S127" s="496"/>
      <c r="T127" s="496"/>
      <c r="U127" s="496"/>
      <c r="V127" s="496"/>
      <c r="W127" s="496"/>
      <c r="X127" s="496"/>
      <c r="Y127" s="677"/>
      <c r="Z127" s="3"/>
    </row>
    <row r="128" spans="1:26" ht="15" customHeight="1" x14ac:dyDescent="0.3">
      <c r="A128" s="15"/>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5"/>
      <c r="Y128" s="15"/>
      <c r="Z128" s="15"/>
    </row>
    <row r="129" spans="1:26" ht="15" customHeight="1" x14ac:dyDescent="0.3">
      <c r="A129" s="1"/>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
      <c r="Y129" s="1"/>
      <c r="Z129" s="1"/>
    </row>
    <row r="130" spans="1:26" ht="15" customHeight="1" x14ac:dyDescent="0.3">
      <c r="A130" s="3"/>
      <c r="B130" s="30" t="s">
        <v>132</v>
      </c>
      <c r="C130" s="496"/>
      <c r="D130" s="496"/>
      <c r="E130" s="496"/>
      <c r="F130" s="496"/>
      <c r="G130" s="496"/>
      <c r="H130" s="496"/>
      <c r="I130" s="496"/>
      <c r="J130" s="496"/>
      <c r="K130" s="496"/>
      <c r="L130" s="496"/>
      <c r="M130" s="496"/>
      <c r="N130" s="496"/>
      <c r="O130" s="496"/>
      <c r="P130" s="496"/>
      <c r="Q130" s="496"/>
      <c r="R130" s="496"/>
      <c r="S130" s="496"/>
      <c r="T130" s="496"/>
      <c r="U130" s="496"/>
      <c r="V130" s="496"/>
      <c r="W130" s="496"/>
      <c r="X130" s="3"/>
      <c r="Y130" s="3"/>
      <c r="Z130" s="3"/>
    </row>
    <row r="131" spans="1:26" ht="15" customHeight="1" x14ac:dyDescent="0.3">
      <c r="A131" s="3"/>
      <c r="B131" s="496"/>
      <c r="C131" s="496"/>
      <c r="D131" s="496"/>
      <c r="E131" s="496"/>
      <c r="F131" s="496"/>
      <c r="G131" s="496"/>
      <c r="H131" s="496"/>
      <c r="I131" s="496"/>
      <c r="J131" s="496"/>
      <c r="K131" s="496"/>
      <c r="L131" s="496"/>
      <c r="M131" s="496"/>
      <c r="N131" s="496"/>
      <c r="O131" s="496"/>
      <c r="P131" s="496"/>
      <c r="Q131" s="496"/>
      <c r="R131" s="496"/>
      <c r="S131" s="496"/>
      <c r="T131" s="496"/>
      <c r="U131" s="496"/>
      <c r="V131" s="496"/>
      <c r="W131" s="496"/>
      <c r="X131" s="3"/>
      <c r="Y131" s="3"/>
      <c r="Z131" s="3"/>
    </row>
    <row r="132" spans="1:26" ht="1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 customHeight="1" thickBot="1" x14ac:dyDescent="0.35">
      <c r="A133" s="3"/>
      <c r="B133" s="1245" t="s">
        <v>130</v>
      </c>
      <c r="C133" s="1473"/>
      <c r="D133" s="1227" t="s">
        <v>131</v>
      </c>
      <c r="E133" s="1227"/>
      <c r="F133" s="1227"/>
      <c r="G133" s="3"/>
      <c r="H133" s="3"/>
      <c r="I133" s="3"/>
      <c r="J133" s="3"/>
      <c r="K133" s="3"/>
      <c r="L133" s="3"/>
      <c r="M133" s="3"/>
      <c r="N133" s="3"/>
      <c r="O133" s="3"/>
      <c r="P133" s="3"/>
      <c r="Q133" s="3"/>
      <c r="R133" s="3"/>
      <c r="S133" s="3"/>
      <c r="T133" s="3"/>
      <c r="U133" s="3"/>
      <c r="V133" s="3"/>
      <c r="W133" s="3"/>
      <c r="X133" s="3"/>
      <c r="Y133" s="3"/>
      <c r="Z133" s="3"/>
    </row>
    <row r="134" spans="1:26" ht="15" customHeight="1" x14ac:dyDescent="0.3">
      <c r="A134" s="3"/>
      <c r="B134" s="224" t="s">
        <v>113</v>
      </c>
      <c r="C134" s="122"/>
      <c r="D134" s="1485">
        <f>V13</f>
        <v>101409.10714285714</v>
      </c>
      <c r="E134" s="1486"/>
      <c r="F134" s="1487"/>
      <c r="G134" s="3"/>
      <c r="H134" s="3"/>
      <c r="I134" s="3"/>
      <c r="J134" s="3"/>
      <c r="K134" s="3"/>
      <c r="L134" s="3"/>
      <c r="M134" s="3"/>
      <c r="N134" s="3"/>
      <c r="O134" s="3"/>
      <c r="P134" s="3"/>
      <c r="Q134" s="3"/>
      <c r="R134" s="3"/>
      <c r="S134" s="3"/>
      <c r="T134" s="3"/>
      <c r="U134" s="3"/>
      <c r="V134" s="3"/>
      <c r="W134" s="3"/>
      <c r="X134" s="3"/>
      <c r="Y134" s="3"/>
      <c r="Z134" s="3"/>
    </row>
    <row r="135" spans="1:26" ht="15" customHeight="1" x14ac:dyDescent="0.3">
      <c r="A135" s="3"/>
      <c r="B135" s="225" t="s">
        <v>114</v>
      </c>
      <c r="C135" s="124"/>
      <c r="D135" s="1474">
        <f>V22</f>
        <v>89747.059821428571</v>
      </c>
      <c r="E135" s="1230"/>
      <c r="F135" s="1475"/>
      <c r="G135" s="3"/>
      <c r="H135" s="3"/>
      <c r="I135" s="3"/>
      <c r="J135" s="3"/>
      <c r="K135" s="3"/>
      <c r="L135" s="3"/>
      <c r="M135" s="3"/>
      <c r="N135" s="3"/>
      <c r="O135" s="3"/>
      <c r="P135" s="3"/>
      <c r="Q135" s="3"/>
      <c r="R135" s="3"/>
      <c r="S135" s="3"/>
      <c r="T135" s="3"/>
      <c r="U135" s="3"/>
      <c r="V135" s="3"/>
      <c r="W135" s="3"/>
      <c r="X135" s="3"/>
      <c r="Y135" s="3"/>
      <c r="Z135" s="3"/>
    </row>
    <row r="136" spans="1:26" ht="15" customHeight="1" x14ac:dyDescent="0.3">
      <c r="A136" s="3"/>
      <c r="B136" s="226" t="s">
        <v>117</v>
      </c>
      <c r="C136" s="126"/>
      <c r="D136" s="1469">
        <f>V30</f>
        <v>86015.204678571419</v>
      </c>
      <c r="E136" s="1215"/>
      <c r="F136" s="1470"/>
      <c r="G136" s="3"/>
      <c r="H136" s="3"/>
      <c r="I136" s="3"/>
      <c r="J136" s="3"/>
      <c r="K136" s="3"/>
      <c r="L136" s="3"/>
      <c r="M136" s="3"/>
      <c r="N136" s="3"/>
      <c r="O136" s="3"/>
      <c r="P136" s="3"/>
      <c r="Q136" s="3"/>
      <c r="R136" s="3"/>
      <c r="S136" s="3"/>
      <c r="T136" s="3"/>
      <c r="U136" s="3"/>
      <c r="V136" s="3"/>
      <c r="W136" s="3"/>
      <c r="X136" s="3"/>
      <c r="Y136" s="3"/>
      <c r="Z136" s="3"/>
    </row>
    <row r="137" spans="1:26" ht="15" customHeight="1" x14ac:dyDescent="0.3">
      <c r="A137" s="3"/>
      <c r="B137" s="227" t="s">
        <v>118</v>
      </c>
      <c r="C137" s="128"/>
      <c r="D137" s="1471">
        <f>V40</f>
        <v>78085.012499999997</v>
      </c>
      <c r="E137" s="1218"/>
      <c r="F137" s="1472"/>
      <c r="G137" s="3"/>
      <c r="H137" s="3"/>
      <c r="I137" s="3"/>
      <c r="J137" s="3"/>
      <c r="K137" s="3"/>
      <c r="L137" s="3"/>
      <c r="M137" s="3"/>
      <c r="N137" s="3"/>
      <c r="O137" s="3"/>
      <c r="P137" s="3"/>
      <c r="Q137" s="3"/>
      <c r="R137" s="3"/>
      <c r="S137" s="3"/>
      <c r="T137" s="3"/>
      <c r="U137" s="3"/>
      <c r="V137" s="3"/>
      <c r="W137" s="3"/>
      <c r="X137" s="3"/>
      <c r="Y137" s="3"/>
      <c r="Z137" s="3"/>
    </row>
    <row r="138" spans="1:26" ht="15" customHeight="1" x14ac:dyDescent="0.3">
      <c r="A138" s="3"/>
      <c r="B138" s="186" t="s">
        <v>120</v>
      </c>
      <c r="C138" s="130"/>
      <c r="D138" s="1474">
        <f>V49</f>
        <v>82141.376785714296</v>
      </c>
      <c r="E138" s="1230"/>
      <c r="F138" s="1475"/>
      <c r="G138" s="3"/>
      <c r="H138" s="3"/>
      <c r="I138" s="3"/>
      <c r="J138" s="3"/>
      <c r="K138" s="3"/>
      <c r="L138" s="3"/>
      <c r="M138" s="3"/>
      <c r="N138" s="3"/>
      <c r="O138" s="3"/>
      <c r="P138" s="3"/>
      <c r="Q138" s="3"/>
      <c r="R138" s="3"/>
      <c r="S138" s="3"/>
      <c r="T138" s="3"/>
      <c r="U138" s="3"/>
      <c r="V138" s="3"/>
      <c r="W138" s="3"/>
      <c r="X138" s="3"/>
      <c r="Y138" s="3"/>
      <c r="Z138" s="3"/>
    </row>
    <row r="139" spans="1:26" ht="15" customHeight="1" x14ac:dyDescent="0.3">
      <c r="A139" s="3"/>
      <c r="B139" s="116" t="s">
        <v>121</v>
      </c>
      <c r="C139" s="132"/>
      <c r="D139" s="1469">
        <f>V57</f>
        <v>75975.703071428579</v>
      </c>
      <c r="E139" s="1215"/>
      <c r="F139" s="1470"/>
      <c r="G139" s="3"/>
      <c r="H139" s="3"/>
      <c r="I139" s="3"/>
      <c r="J139" s="3"/>
      <c r="K139" s="3"/>
      <c r="L139" s="3"/>
      <c r="M139" s="3"/>
      <c r="N139" s="3"/>
      <c r="O139" s="3"/>
      <c r="P139" s="3"/>
      <c r="Q139" s="3"/>
      <c r="R139" s="3"/>
      <c r="S139" s="3"/>
      <c r="T139" s="3"/>
      <c r="U139" s="3"/>
      <c r="V139" s="3"/>
      <c r="W139" s="3"/>
      <c r="X139" s="3"/>
      <c r="Y139" s="3"/>
      <c r="Z139" s="3"/>
    </row>
    <row r="140" spans="1:26" ht="15" customHeight="1" x14ac:dyDescent="0.3">
      <c r="A140" s="3"/>
      <c r="B140" s="228" t="s">
        <v>122</v>
      </c>
      <c r="C140" s="134"/>
      <c r="D140" s="1471">
        <f>V72</f>
        <v>62873.646428571432</v>
      </c>
      <c r="E140" s="1218"/>
      <c r="F140" s="1472"/>
      <c r="G140" s="3"/>
      <c r="H140" s="3"/>
      <c r="I140" s="3"/>
      <c r="J140" s="3"/>
      <c r="K140" s="3"/>
      <c r="L140" s="3"/>
      <c r="M140" s="3"/>
      <c r="N140" s="3"/>
      <c r="O140" s="3"/>
      <c r="P140" s="3"/>
      <c r="Q140" s="3"/>
      <c r="R140" s="3"/>
      <c r="S140" s="3"/>
      <c r="T140" s="3"/>
      <c r="U140" s="3"/>
      <c r="V140" s="3"/>
      <c r="W140" s="3"/>
      <c r="X140" s="3"/>
      <c r="Y140" s="3"/>
      <c r="Z140" s="3"/>
    </row>
    <row r="141" spans="1:26" ht="15" customHeight="1" x14ac:dyDescent="0.3">
      <c r="A141" s="3"/>
      <c r="B141" s="229" t="s">
        <v>126</v>
      </c>
      <c r="C141" s="136"/>
      <c r="D141" s="1474">
        <f>V82</f>
        <v>61606.032589285714</v>
      </c>
      <c r="E141" s="1230"/>
      <c r="F141" s="1475"/>
      <c r="G141" s="3"/>
      <c r="H141" s="3"/>
      <c r="I141" s="3"/>
      <c r="J141" s="3"/>
      <c r="K141" s="3"/>
      <c r="L141" s="3"/>
      <c r="M141" s="3"/>
      <c r="N141" s="3"/>
      <c r="O141" s="3"/>
      <c r="P141" s="3"/>
      <c r="Q141" s="3"/>
      <c r="R141" s="3"/>
      <c r="S141" s="3"/>
      <c r="T141" s="3"/>
      <c r="U141" s="3"/>
      <c r="V141" s="3"/>
      <c r="W141" s="3"/>
      <c r="X141" s="3"/>
      <c r="Y141" s="3"/>
      <c r="Z141" s="3"/>
    </row>
    <row r="142" spans="1:26" ht="15" customHeight="1" x14ac:dyDescent="0.3">
      <c r="A142" s="3"/>
      <c r="B142" s="118" t="s">
        <v>127</v>
      </c>
      <c r="C142" s="138"/>
      <c r="D142" s="1469">
        <f>V91</f>
        <v>61200.396160714285</v>
      </c>
      <c r="E142" s="1215"/>
      <c r="F142" s="1470"/>
      <c r="G142" s="3"/>
      <c r="H142" s="3"/>
      <c r="I142" s="3"/>
      <c r="J142" s="3"/>
      <c r="K142" s="3"/>
      <c r="L142" s="3"/>
      <c r="M142" s="3"/>
      <c r="N142" s="3"/>
      <c r="O142" s="3"/>
      <c r="P142" s="3"/>
      <c r="Q142" s="3"/>
      <c r="R142" s="3"/>
      <c r="S142" s="3"/>
      <c r="T142" s="3"/>
      <c r="U142" s="3"/>
      <c r="V142" s="3"/>
      <c r="W142" s="3"/>
      <c r="X142" s="3"/>
      <c r="Y142" s="3"/>
      <c r="Z142" s="3"/>
    </row>
    <row r="143" spans="1:26" ht="15" customHeight="1" x14ac:dyDescent="0.3">
      <c r="A143" s="3"/>
      <c r="B143" s="115" t="s">
        <v>128</v>
      </c>
      <c r="C143" s="140"/>
      <c r="D143" s="1469">
        <f>V105</f>
        <v>58736.154857142858</v>
      </c>
      <c r="E143" s="1215"/>
      <c r="F143" s="1470"/>
      <c r="G143" s="3"/>
      <c r="H143" s="3"/>
      <c r="I143" s="3"/>
      <c r="J143" s="3"/>
      <c r="K143" s="3"/>
      <c r="L143" s="3"/>
      <c r="M143" s="3"/>
      <c r="N143" s="3"/>
      <c r="O143" s="3"/>
      <c r="P143" s="3"/>
      <c r="Q143" s="3"/>
      <c r="R143" s="3"/>
      <c r="S143" s="3"/>
      <c r="T143" s="3"/>
      <c r="U143" s="3"/>
      <c r="V143" s="3"/>
      <c r="W143" s="3"/>
      <c r="X143" s="3"/>
      <c r="Y143" s="3"/>
      <c r="Z143" s="3"/>
    </row>
    <row r="144" spans="1:26" ht="15" customHeight="1" x14ac:dyDescent="0.3">
      <c r="A144" s="3"/>
      <c r="B144" s="230" t="s">
        <v>129</v>
      </c>
      <c r="C144" s="142"/>
      <c r="D144" s="1471">
        <f>V114</f>
        <v>50359.762607142853</v>
      </c>
      <c r="E144" s="1218"/>
      <c r="F144" s="1472"/>
      <c r="G144" s="3"/>
      <c r="H144" s="3"/>
      <c r="I144" s="3"/>
      <c r="J144" s="3"/>
      <c r="K144" s="3"/>
      <c r="L144" s="3"/>
      <c r="M144" s="3"/>
      <c r="N144" s="3"/>
      <c r="O144" s="3"/>
      <c r="P144" s="3"/>
      <c r="Q144" s="3"/>
      <c r="R144" s="3"/>
      <c r="S144" s="3"/>
      <c r="T144" s="3"/>
      <c r="U144" s="3"/>
      <c r="V144" s="3"/>
      <c r="W144" s="3"/>
      <c r="X144" s="3"/>
      <c r="Y144" s="3"/>
      <c r="Z144" s="3"/>
    </row>
    <row r="145" spans="1:26" ht="15" customHeight="1" thickBot="1" x14ac:dyDescent="0.35">
      <c r="A145" s="3"/>
      <c r="B145" s="231" t="s">
        <v>135</v>
      </c>
      <c r="C145" s="144"/>
      <c r="D145" s="1467">
        <f>V122</f>
        <v>50704.553571428572</v>
      </c>
      <c r="E145" s="1221"/>
      <c r="F145" s="1468"/>
      <c r="G145" s="3"/>
      <c r="H145" s="3"/>
      <c r="I145" s="3"/>
      <c r="J145" s="3"/>
      <c r="K145" s="3"/>
      <c r="L145" s="3"/>
      <c r="M145" s="3"/>
      <c r="N145" s="3"/>
      <c r="O145" s="3"/>
      <c r="P145" s="3"/>
      <c r="Q145" s="3"/>
      <c r="R145" s="3"/>
      <c r="S145" s="3"/>
      <c r="T145" s="3"/>
      <c r="U145" s="3"/>
      <c r="V145" s="3"/>
      <c r="W145" s="3"/>
      <c r="X145" s="3"/>
      <c r="Y145" s="3"/>
      <c r="Z145" s="3"/>
    </row>
    <row r="146" spans="1:26" ht="1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 customHeight="1" x14ac:dyDescent="0.3">
      <c r="A151" s="79"/>
      <c r="B151" s="3"/>
      <c r="C151" s="3"/>
      <c r="D151" s="3"/>
      <c r="E151" s="3"/>
      <c r="F151" s="3"/>
      <c r="G151" s="79"/>
      <c r="H151" s="79"/>
      <c r="I151" s="79"/>
      <c r="J151" s="79"/>
      <c r="K151" s="79"/>
      <c r="L151" s="79"/>
      <c r="M151" s="79"/>
      <c r="N151" s="79"/>
      <c r="O151" s="79"/>
      <c r="P151" s="79"/>
      <c r="Q151" s="79"/>
      <c r="R151" s="79"/>
      <c r="S151" s="79"/>
      <c r="T151" s="79"/>
      <c r="U151" s="79"/>
      <c r="V151" s="79"/>
      <c r="W151" s="79"/>
      <c r="X151" s="79"/>
      <c r="Y151" s="79"/>
      <c r="Z151" s="79"/>
    </row>
    <row r="152" spans="1:26" ht="15" customHeight="1" x14ac:dyDescent="0.3">
      <c r="A152" s="79"/>
      <c r="B152" s="3"/>
      <c r="C152" s="3"/>
      <c r="D152" s="3"/>
      <c r="E152" s="3"/>
      <c r="F152" s="3"/>
      <c r="G152" s="79"/>
      <c r="H152" s="79"/>
      <c r="I152" s="79"/>
      <c r="J152" s="79"/>
      <c r="K152" s="79"/>
      <c r="L152" s="79"/>
      <c r="M152" s="79"/>
      <c r="N152" s="79"/>
      <c r="O152" s="79"/>
      <c r="P152" s="79"/>
      <c r="Q152" s="79"/>
      <c r="R152" s="79"/>
      <c r="S152" s="79"/>
      <c r="T152" s="79"/>
      <c r="U152" s="79"/>
      <c r="V152" s="79"/>
      <c r="W152" s="79"/>
      <c r="X152" s="79"/>
      <c r="Y152" s="79"/>
      <c r="Z152" s="79"/>
    </row>
    <row r="153" spans="1:26" ht="15" customHeight="1" x14ac:dyDescent="0.3">
      <c r="A153" s="79"/>
      <c r="B153" s="3"/>
      <c r="C153" s="3"/>
      <c r="D153" s="3"/>
      <c r="E153" s="3"/>
      <c r="F153" s="3"/>
      <c r="G153" s="79"/>
      <c r="H153" s="79"/>
      <c r="I153" s="79"/>
      <c r="J153" s="79"/>
      <c r="K153" s="79"/>
      <c r="L153" s="79"/>
      <c r="M153" s="79"/>
      <c r="N153" s="79"/>
      <c r="O153" s="79"/>
      <c r="P153" s="79"/>
      <c r="Q153" s="79"/>
      <c r="R153" s="79"/>
      <c r="S153" s="79"/>
      <c r="T153" s="79"/>
      <c r="U153" s="79"/>
      <c r="V153" s="79"/>
      <c r="W153" s="79"/>
      <c r="X153" s="79"/>
      <c r="Y153" s="79"/>
      <c r="Z153" s="79"/>
    </row>
    <row r="154" spans="1:26" ht="15" customHeight="1" x14ac:dyDescent="0.3">
      <c r="A154" s="79"/>
      <c r="B154" s="3"/>
      <c r="C154" s="3"/>
      <c r="D154" s="3"/>
      <c r="E154" s="3"/>
      <c r="F154" s="3"/>
      <c r="G154" s="79"/>
      <c r="H154" s="79"/>
      <c r="I154" s="79"/>
      <c r="J154" s="79"/>
      <c r="K154" s="79"/>
      <c r="L154" s="79"/>
      <c r="M154" s="79"/>
      <c r="N154" s="79"/>
      <c r="O154" s="79"/>
      <c r="P154" s="79"/>
      <c r="Q154" s="79"/>
      <c r="R154" s="79"/>
      <c r="S154" s="79"/>
      <c r="T154" s="79"/>
      <c r="U154" s="79"/>
      <c r="V154" s="79"/>
      <c r="W154" s="79"/>
      <c r="X154" s="79"/>
      <c r="Y154" s="79"/>
      <c r="Z154" s="79"/>
    </row>
    <row r="155" spans="1:26" ht="15" customHeight="1" x14ac:dyDescent="0.3">
      <c r="A155" s="79"/>
      <c r="B155" s="3"/>
      <c r="C155" s="3"/>
      <c r="D155" s="3"/>
      <c r="E155" s="3"/>
      <c r="F155" s="3"/>
      <c r="G155" s="79"/>
      <c r="H155" s="79"/>
      <c r="I155" s="79"/>
      <c r="J155" s="79"/>
      <c r="K155" s="79"/>
      <c r="L155" s="79"/>
      <c r="M155" s="79"/>
      <c r="N155" s="79"/>
      <c r="O155" s="79"/>
      <c r="P155" s="79"/>
      <c r="Q155" s="79"/>
      <c r="R155" s="79"/>
      <c r="S155" s="79"/>
      <c r="T155" s="79"/>
      <c r="U155" s="79"/>
      <c r="V155" s="79"/>
      <c r="W155" s="79"/>
      <c r="X155" s="79"/>
      <c r="Y155" s="79"/>
      <c r="Z155" s="79"/>
    </row>
    <row r="156" spans="1:26" ht="15" customHeight="1" x14ac:dyDescent="0.3">
      <c r="A156" s="79"/>
      <c r="B156" s="3"/>
      <c r="C156" s="3"/>
      <c r="D156" s="3"/>
      <c r="E156" s="3"/>
      <c r="F156" s="3"/>
      <c r="G156" s="79"/>
      <c r="H156" s="79"/>
      <c r="I156" s="79"/>
      <c r="J156" s="79"/>
      <c r="K156" s="79"/>
      <c r="L156" s="79"/>
      <c r="M156" s="79"/>
      <c r="N156" s="79"/>
      <c r="O156" s="79"/>
      <c r="P156" s="79"/>
      <c r="Q156" s="79"/>
      <c r="R156" s="79"/>
      <c r="S156" s="79"/>
      <c r="T156" s="79"/>
      <c r="U156" s="79"/>
      <c r="V156" s="79"/>
      <c r="W156" s="79"/>
      <c r="X156" s="79"/>
      <c r="Y156" s="79"/>
      <c r="Z156" s="79"/>
    </row>
    <row r="157" spans="1:26" ht="15" customHeight="1" x14ac:dyDescent="0.3">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ht="15" customHeight="1" x14ac:dyDescent="0.3">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ht="15" customHeight="1" x14ac:dyDescent="0.3">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ht="15" customHeight="1" x14ac:dyDescent="0.3">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sheetData>
  <mergeCells count="437">
    <mergeCell ref="D142:F142"/>
    <mergeCell ref="D143:F143"/>
    <mergeCell ref="D144:F144"/>
    <mergeCell ref="D145:F145"/>
    <mergeCell ref="D136:F136"/>
    <mergeCell ref="D137:F137"/>
    <mergeCell ref="D138:F138"/>
    <mergeCell ref="D139:F139"/>
    <mergeCell ref="D140:F140"/>
    <mergeCell ref="D141:F141"/>
    <mergeCell ref="V122:X122"/>
    <mergeCell ref="C123:X123"/>
    <mergeCell ref="B133:C133"/>
    <mergeCell ref="D133:F133"/>
    <mergeCell ref="D134:F134"/>
    <mergeCell ref="D135:F135"/>
    <mergeCell ref="C122:G122"/>
    <mergeCell ref="H122:I122"/>
    <mergeCell ref="J122:L122"/>
    <mergeCell ref="M122:O122"/>
    <mergeCell ref="P122:R122"/>
    <mergeCell ref="S122:U122"/>
    <mergeCell ref="V120:X120"/>
    <mergeCell ref="C121:G121"/>
    <mergeCell ref="H121:I121"/>
    <mergeCell ref="J121:L121"/>
    <mergeCell ref="M121:O121"/>
    <mergeCell ref="P121:R121"/>
    <mergeCell ref="S121:U121"/>
    <mergeCell ref="V121:X121"/>
    <mergeCell ref="C120:G120"/>
    <mergeCell ref="H120:I120"/>
    <mergeCell ref="J120:L120"/>
    <mergeCell ref="M120:O120"/>
    <mergeCell ref="P120:R120"/>
    <mergeCell ref="S120:U120"/>
    <mergeCell ref="C119:I119"/>
    <mergeCell ref="J119:L119"/>
    <mergeCell ref="M119:O119"/>
    <mergeCell ref="P119:R119"/>
    <mergeCell ref="S119:U119"/>
    <mergeCell ref="V119:X119"/>
    <mergeCell ref="S114:U114"/>
    <mergeCell ref="V114:X114"/>
    <mergeCell ref="C117:I118"/>
    <mergeCell ref="J117:L118"/>
    <mergeCell ref="M117:O118"/>
    <mergeCell ref="P117:R118"/>
    <mergeCell ref="S117:U118"/>
    <mergeCell ref="V117:X118"/>
    <mergeCell ref="J113:L113"/>
    <mergeCell ref="M113:O113"/>
    <mergeCell ref="P113:R113"/>
    <mergeCell ref="S113:U113"/>
    <mergeCell ref="V113:X113"/>
    <mergeCell ref="C114:G114"/>
    <mergeCell ref="H114:I114"/>
    <mergeCell ref="J114:L114"/>
    <mergeCell ref="M114:O114"/>
    <mergeCell ref="P114:R114"/>
    <mergeCell ref="V111:X111"/>
    <mergeCell ref="C112:G112"/>
    <mergeCell ref="H112:I112"/>
    <mergeCell ref="J112:L112"/>
    <mergeCell ref="M112:O112"/>
    <mergeCell ref="P112:R112"/>
    <mergeCell ref="S112:U112"/>
    <mergeCell ref="V112:X112"/>
    <mergeCell ref="C111:G111"/>
    <mergeCell ref="H111:I111"/>
    <mergeCell ref="J111:L111"/>
    <mergeCell ref="M111:O111"/>
    <mergeCell ref="P111:R111"/>
    <mergeCell ref="S111:U111"/>
    <mergeCell ref="C110:I110"/>
    <mergeCell ref="J110:L110"/>
    <mergeCell ref="M110:O110"/>
    <mergeCell ref="P110:R110"/>
    <mergeCell ref="S110:U110"/>
    <mergeCell ref="V110:X110"/>
    <mergeCell ref="S105:U105"/>
    <mergeCell ref="V105:X105"/>
    <mergeCell ref="B106:W106"/>
    <mergeCell ref="C108:I109"/>
    <mergeCell ref="J108:L109"/>
    <mergeCell ref="M108:O109"/>
    <mergeCell ref="P108:R109"/>
    <mergeCell ref="S108:U109"/>
    <mergeCell ref="V108:X109"/>
    <mergeCell ref="J104:L104"/>
    <mergeCell ref="M104:O104"/>
    <mergeCell ref="P104:R104"/>
    <mergeCell ref="S104:U104"/>
    <mergeCell ref="V104:X104"/>
    <mergeCell ref="C105:G105"/>
    <mergeCell ref="H105:I105"/>
    <mergeCell ref="J105:L105"/>
    <mergeCell ref="M105:O105"/>
    <mergeCell ref="P105:R105"/>
    <mergeCell ref="V102:X102"/>
    <mergeCell ref="C103:G103"/>
    <mergeCell ref="H103:I103"/>
    <mergeCell ref="J103:L103"/>
    <mergeCell ref="M103:O103"/>
    <mergeCell ref="P103:R103"/>
    <mergeCell ref="S103:U103"/>
    <mergeCell ref="V103:X103"/>
    <mergeCell ref="C102:G102"/>
    <mergeCell ref="H102:I102"/>
    <mergeCell ref="J102:L102"/>
    <mergeCell ref="M102:O102"/>
    <mergeCell ref="P102:R102"/>
    <mergeCell ref="S102:U102"/>
    <mergeCell ref="C101:I101"/>
    <mergeCell ref="J101:L101"/>
    <mergeCell ref="M101:O101"/>
    <mergeCell ref="P101:R101"/>
    <mergeCell ref="S101:U101"/>
    <mergeCell ref="V101:X101"/>
    <mergeCell ref="S91:U91"/>
    <mergeCell ref="V91:X91"/>
    <mergeCell ref="B92:W92"/>
    <mergeCell ref="C99:I100"/>
    <mergeCell ref="J99:L100"/>
    <mergeCell ref="M99:O100"/>
    <mergeCell ref="P99:R100"/>
    <mergeCell ref="S99:U100"/>
    <mergeCell ref="V99:X100"/>
    <mergeCell ref="J90:L90"/>
    <mergeCell ref="M90:O90"/>
    <mergeCell ref="P90:R90"/>
    <mergeCell ref="S90:U90"/>
    <mergeCell ref="V90:X90"/>
    <mergeCell ref="C91:G91"/>
    <mergeCell ref="H91:I91"/>
    <mergeCell ref="J91:L91"/>
    <mergeCell ref="M91:O91"/>
    <mergeCell ref="P91:R91"/>
    <mergeCell ref="V88:X88"/>
    <mergeCell ref="C89:G89"/>
    <mergeCell ref="H89:I89"/>
    <mergeCell ref="J89:L89"/>
    <mergeCell ref="M89:O89"/>
    <mergeCell ref="P89:R89"/>
    <mergeCell ref="S89:U89"/>
    <mergeCell ref="V89:X89"/>
    <mergeCell ref="C88:G88"/>
    <mergeCell ref="H88:I88"/>
    <mergeCell ref="J88:L88"/>
    <mergeCell ref="M88:O88"/>
    <mergeCell ref="P88:R88"/>
    <mergeCell ref="S88:U88"/>
    <mergeCell ref="C87:I87"/>
    <mergeCell ref="J87:L87"/>
    <mergeCell ref="M87:O87"/>
    <mergeCell ref="P87:R87"/>
    <mergeCell ref="S87:U87"/>
    <mergeCell ref="V87:X87"/>
    <mergeCell ref="S82:U82"/>
    <mergeCell ref="V82:X82"/>
    <mergeCell ref="B83:W83"/>
    <mergeCell ref="C85:I86"/>
    <mergeCell ref="J85:L86"/>
    <mergeCell ref="M85:O86"/>
    <mergeCell ref="P85:R86"/>
    <mergeCell ref="S85:U86"/>
    <mergeCell ref="V85:X86"/>
    <mergeCell ref="J81:L81"/>
    <mergeCell ref="M81:O81"/>
    <mergeCell ref="P81:R81"/>
    <mergeCell ref="S81:U81"/>
    <mergeCell ref="V81:X81"/>
    <mergeCell ref="C82:G82"/>
    <mergeCell ref="H82:I82"/>
    <mergeCell ref="J82:L82"/>
    <mergeCell ref="M82:O82"/>
    <mergeCell ref="P82:R82"/>
    <mergeCell ref="V79:X79"/>
    <mergeCell ref="C80:G80"/>
    <mergeCell ref="H80:I80"/>
    <mergeCell ref="J80:L80"/>
    <mergeCell ref="M80:O80"/>
    <mergeCell ref="P80:R80"/>
    <mergeCell ref="S80:U80"/>
    <mergeCell ref="V80:X80"/>
    <mergeCell ref="C79:G79"/>
    <mergeCell ref="H79:I79"/>
    <mergeCell ref="J79:L79"/>
    <mergeCell ref="M79:O79"/>
    <mergeCell ref="P79:R79"/>
    <mergeCell ref="S79:U79"/>
    <mergeCell ref="C78:I78"/>
    <mergeCell ref="J78:L78"/>
    <mergeCell ref="M78:O78"/>
    <mergeCell ref="P78:R78"/>
    <mergeCell ref="S78:U78"/>
    <mergeCell ref="V78:X78"/>
    <mergeCell ref="V72:X72"/>
    <mergeCell ref="C76:I77"/>
    <mergeCell ref="J76:L77"/>
    <mergeCell ref="M76:O77"/>
    <mergeCell ref="P76:R77"/>
    <mergeCell ref="S76:U77"/>
    <mergeCell ref="V76:X77"/>
    <mergeCell ref="C72:G72"/>
    <mergeCell ref="H72:I72"/>
    <mergeCell ref="J72:L72"/>
    <mergeCell ref="M72:O72"/>
    <mergeCell ref="P72:R72"/>
    <mergeCell ref="S72:U72"/>
    <mergeCell ref="V70:X70"/>
    <mergeCell ref="C71:G71"/>
    <mergeCell ref="H71:I71"/>
    <mergeCell ref="J71:L71"/>
    <mergeCell ref="M71:O71"/>
    <mergeCell ref="P71:R71"/>
    <mergeCell ref="S71:U71"/>
    <mergeCell ref="V71:X71"/>
    <mergeCell ref="C70:G70"/>
    <mergeCell ref="H70:I70"/>
    <mergeCell ref="J70:L70"/>
    <mergeCell ref="M70:O70"/>
    <mergeCell ref="P70:R70"/>
    <mergeCell ref="S70:U70"/>
    <mergeCell ref="C69:I69"/>
    <mergeCell ref="J69:L69"/>
    <mergeCell ref="M69:O69"/>
    <mergeCell ref="P69:R69"/>
    <mergeCell ref="S69:U69"/>
    <mergeCell ref="V69:X69"/>
    <mergeCell ref="V57:X57"/>
    <mergeCell ref="B58:W58"/>
    <mergeCell ref="C67:I68"/>
    <mergeCell ref="J67:L68"/>
    <mergeCell ref="M67:O68"/>
    <mergeCell ref="P67:R68"/>
    <mergeCell ref="S67:U68"/>
    <mergeCell ref="V67:X68"/>
    <mergeCell ref="C57:G57"/>
    <mergeCell ref="H57:I57"/>
    <mergeCell ref="J57:L57"/>
    <mergeCell ref="M57:O57"/>
    <mergeCell ref="P57:R57"/>
    <mergeCell ref="S57:U57"/>
    <mergeCell ref="V55:X55"/>
    <mergeCell ref="C56:G56"/>
    <mergeCell ref="H56:I56"/>
    <mergeCell ref="J56:L56"/>
    <mergeCell ref="M56:O56"/>
    <mergeCell ref="P56:R56"/>
    <mergeCell ref="S56:U56"/>
    <mergeCell ref="V56:X56"/>
    <mergeCell ref="C55:G55"/>
    <mergeCell ref="H55:I55"/>
    <mergeCell ref="J55:L55"/>
    <mergeCell ref="M55:O55"/>
    <mergeCell ref="P55:R55"/>
    <mergeCell ref="S55:U55"/>
    <mergeCell ref="C54:I54"/>
    <mergeCell ref="J54:L54"/>
    <mergeCell ref="M54:O54"/>
    <mergeCell ref="P54:R54"/>
    <mergeCell ref="S54:U54"/>
    <mergeCell ref="V54:X54"/>
    <mergeCell ref="V49:X49"/>
    <mergeCell ref="B50:W50"/>
    <mergeCell ref="C52:I53"/>
    <mergeCell ref="J52:L53"/>
    <mergeCell ref="M52:O53"/>
    <mergeCell ref="P52:R53"/>
    <mergeCell ref="S52:U53"/>
    <mergeCell ref="V52:X53"/>
    <mergeCell ref="C49:G49"/>
    <mergeCell ref="H49:I49"/>
    <mergeCell ref="J49:L49"/>
    <mergeCell ref="M49:O49"/>
    <mergeCell ref="P49:R49"/>
    <mergeCell ref="S49:U49"/>
    <mergeCell ref="V47:X47"/>
    <mergeCell ref="C48:G48"/>
    <mergeCell ref="H48:I48"/>
    <mergeCell ref="J48:L48"/>
    <mergeCell ref="M48:O48"/>
    <mergeCell ref="P48:R48"/>
    <mergeCell ref="S48:U48"/>
    <mergeCell ref="V48:X48"/>
    <mergeCell ref="C47:G47"/>
    <mergeCell ref="H47:I47"/>
    <mergeCell ref="J47:L47"/>
    <mergeCell ref="M47:O47"/>
    <mergeCell ref="P47:R47"/>
    <mergeCell ref="S47:U47"/>
    <mergeCell ref="C46:I46"/>
    <mergeCell ref="J46:L46"/>
    <mergeCell ref="M46:O46"/>
    <mergeCell ref="P46:R46"/>
    <mergeCell ref="S46:U46"/>
    <mergeCell ref="V46:X46"/>
    <mergeCell ref="V40:X40"/>
    <mergeCell ref="C44:I45"/>
    <mergeCell ref="J44:L45"/>
    <mergeCell ref="M44:O45"/>
    <mergeCell ref="P44:R45"/>
    <mergeCell ref="S44:U45"/>
    <mergeCell ref="V44:X45"/>
    <mergeCell ref="C40:G40"/>
    <mergeCell ref="H40:I40"/>
    <mergeCell ref="J40:L40"/>
    <mergeCell ref="M40:O40"/>
    <mergeCell ref="P40:R40"/>
    <mergeCell ref="S40:U40"/>
    <mergeCell ref="V38:X38"/>
    <mergeCell ref="C39:G39"/>
    <mergeCell ref="H39:I39"/>
    <mergeCell ref="J39:L39"/>
    <mergeCell ref="M39:O39"/>
    <mergeCell ref="P39:R39"/>
    <mergeCell ref="S39:U39"/>
    <mergeCell ref="V39:X39"/>
    <mergeCell ref="C38:G38"/>
    <mergeCell ref="H38:I38"/>
    <mergeCell ref="J38:L38"/>
    <mergeCell ref="M38:O38"/>
    <mergeCell ref="P38:R38"/>
    <mergeCell ref="S38:U38"/>
    <mergeCell ref="C37:I37"/>
    <mergeCell ref="J37:L37"/>
    <mergeCell ref="M37:O37"/>
    <mergeCell ref="P37:R37"/>
    <mergeCell ref="S37:U37"/>
    <mergeCell ref="V37:X37"/>
    <mergeCell ref="V30:X30"/>
    <mergeCell ref="C35:I36"/>
    <mergeCell ref="J35:L36"/>
    <mergeCell ref="M35:O36"/>
    <mergeCell ref="P35:R36"/>
    <mergeCell ref="S35:U36"/>
    <mergeCell ref="V35:X36"/>
    <mergeCell ref="C30:G30"/>
    <mergeCell ref="H30:I30"/>
    <mergeCell ref="J30:L30"/>
    <mergeCell ref="M30:O30"/>
    <mergeCell ref="P30:R30"/>
    <mergeCell ref="S30:U30"/>
    <mergeCell ref="V28:X28"/>
    <mergeCell ref="C29:G29"/>
    <mergeCell ref="H29:I29"/>
    <mergeCell ref="J29:L29"/>
    <mergeCell ref="M29:O29"/>
    <mergeCell ref="P29:R29"/>
    <mergeCell ref="S29:U29"/>
    <mergeCell ref="V29:X29"/>
    <mergeCell ref="C28:G28"/>
    <mergeCell ref="H28:I28"/>
    <mergeCell ref="J28:L28"/>
    <mergeCell ref="M28:O28"/>
    <mergeCell ref="P28:R28"/>
    <mergeCell ref="S28:U28"/>
    <mergeCell ref="C27:I27"/>
    <mergeCell ref="J27:L27"/>
    <mergeCell ref="M27:O27"/>
    <mergeCell ref="P27:R27"/>
    <mergeCell ref="S27:U27"/>
    <mergeCell ref="V27:X27"/>
    <mergeCell ref="V22:X22"/>
    <mergeCell ref="C23:X23"/>
    <mergeCell ref="C25:I26"/>
    <mergeCell ref="J25:L26"/>
    <mergeCell ref="M25:O26"/>
    <mergeCell ref="P25:R26"/>
    <mergeCell ref="S25:U26"/>
    <mergeCell ref="V25:X26"/>
    <mergeCell ref="C22:G22"/>
    <mergeCell ref="H22:I22"/>
    <mergeCell ref="J22:L22"/>
    <mergeCell ref="M22:O22"/>
    <mergeCell ref="P22:R22"/>
    <mergeCell ref="S22:U22"/>
    <mergeCell ref="V20:X20"/>
    <mergeCell ref="C21:G21"/>
    <mergeCell ref="H21:I21"/>
    <mergeCell ref="J21:L21"/>
    <mergeCell ref="M21:O21"/>
    <mergeCell ref="P21:R21"/>
    <mergeCell ref="S21:U21"/>
    <mergeCell ref="V21:X21"/>
    <mergeCell ref="C20:G20"/>
    <mergeCell ref="H20:I20"/>
    <mergeCell ref="J20:L20"/>
    <mergeCell ref="M20:O20"/>
    <mergeCell ref="P20:R20"/>
    <mergeCell ref="S20:U20"/>
    <mergeCell ref="C19:I19"/>
    <mergeCell ref="J19:L19"/>
    <mergeCell ref="M19:O19"/>
    <mergeCell ref="P19:R19"/>
    <mergeCell ref="S19:U19"/>
    <mergeCell ref="V19:X19"/>
    <mergeCell ref="V13:X13"/>
    <mergeCell ref="C17:I18"/>
    <mergeCell ref="J17:L18"/>
    <mergeCell ref="M17:O18"/>
    <mergeCell ref="P17:R18"/>
    <mergeCell ref="S17:U18"/>
    <mergeCell ref="V17:X18"/>
    <mergeCell ref="C13:G13"/>
    <mergeCell ref="H13:I13"/>
    <mergeCell ref="J13:L13"/>
    <mergeCell ref="M13:O13"/>
    <mergeCell ref="P13:R13"/>
    <mergeCell ref="S13:U13"/>
    <mergeCell ref="V11:X11"/>
    <mergeCell ref="C12:G12"/>
    <mergeCell ref="H12:I12"/>
    <mergeCell ref="J12:L12"/>
    <mergeCell ref="M12:O12"/>
    <mergeCell ref="P12:R12"/>
    <mergeCell ref="S12:U12"/>
    <mergeCell ref="V12:X12"/>
    <mergeCell ref="C11:G11"/>
    <mergeCell ref="H11:I11"/>
    <mergeCell ref="J11:L11"/>
    <mergeCell ref="M11:O11"/>
    <mergeCell ref="P11:R11"/>
    <mergeCell ref="S11:U11"/>
    <mergeCell ref="C10:I10"/>
    <mergeCell ref="J10:L10"/>
    <mergeCell ref="M10:O10"/>
    <mergeCell ref="P10:R10"/>
    <mergeCell ref="S10:U10"/>
    <mergeCell ref="V10:X10"/>
    <mergeCell ref="C8:I9"/>
    <mergeCell ref="J8:L9"/>
    <mergeCell ref="M8:O9"/>
    <mergeCell ref="P8:R9"/>
    <mergeCell ref="S8:U9"/>
    <mergeCell ref="V8:X9"/>
  </mergeCells>
  <dataValidations disablePrompts="1" count="4">
    <dataValidation allowBlank="1" showInputMessage="1" showErrorMessage="1" prompt="6° 17' 40.1424''" sqref="JS65516 TO65516 ADK65516 ANG65516 AXC65516 BGY65516 BQU65516 CAQ65516 CKM65516 CUI65516 DEE65516 DOA65516 DXW65516 EHS65516 ERO65516 FBK65516 FLG65516 FVC65516 GEY65516 GOU65516 GYQ65516 HIM65516 HSI65516 ICE65516 IMA65516 IVW65516 JFS65516 JPO65516 JZK65516 KJG65516 KTC65516 LCY65516 LMU65516 LWQ65516 MGM65516 MQI65516 NAE65516 NKA65516 NTW65516 ODS65516 ONO65516 OXK65516 PHG65516 PRC65516 QAY65516 QKU65516 QUQ65516 REM65516 ROI65516 RYE65516 SIA65516 SRW65516 TBS65516 TLO65516 TVK65516 UFG65516 UPC65516 UYY65516 VIU65516 VSQ65516 WCM65516 WMI65516 WWE65516 JS131052 TO131052 ADK131052 ANG131052 AXC131052 BGY131052 BQU131052 CAQ131052 CKM131052 CUI131052 DEE131052 DOA131052 DXW131052 EHS131052 ERO131052 FBK131052 FLG131052 FVC131052 GEY131052 GOU131052 GYQ131052 HIM131052 HSI131052 ICE131052 IMA131052 IVW131052 JFS131052 JPO131052 JZK131052 KJG131052 KTC131052 LCY131052 LMU131052 LWQ131052 MGM131052 MQI131052 NAE131052 NKA131052 NTW131052 ODS131052 ONO131052 OXK131052 PHG131052 PRC131052 QAY131052 QKU131052 QUQ131052 REM131052 ROI131052 RYE131052 SIA131052 SRW131052 TBS131052 TLO131052 TVK131052 UFG131052 UPC131052 UYY131052 VIU131052 VSQ131052 WCM131052 WMI131052 WWE131052 JS196588 TO196588 ADK196588 ANG196588 AXC196588 BGY196588 BQU196588 CAQ196588 CKM196588 CUI196588 DEE196588 DOA196588 DXW196588 EHS196588 ERO196588 FBK196588 FLG196588 FVC196588 GEY196588 GOU196588 GYQ196588 HIM196588 HSI196588 ICE196588 IMA196588 IVW196588 JFS196588 JPO196588 JZK196588 KJG196588 KTC196588 LCY196588 LMU196588 LWQ196588 MGM196588 MQI196588 NAE196588 NKA196588 NTW196588 ODS196588 ONO196588 OXK196588 PHG196588 PRC196588 QAY196588 QKU196588 QUQ196588 REM196588 ROI196588 RYE196588 SIA196588 SRW196588 TBS196588 TLO196588 TVK196588 UFG196588 UPC196588 UYY196588 VIU196588 VSQ196588 WCM196588 WMI196588 WWE196588 JS262124 TO262124 ADK262124 ANG262124 AXC262124 BGY262124 BQU262124 CAQ262124 CKM262124 CUI262124 DEE262124 DOA262124 DXW262124 EHS262124 ERO262124 FBK262124 FLG262124 FVC262124 GEY262124 GOU262124 GYQ262124 HIM262124 HSI262124 ICE262124 IMA262124 IVW262124 JFS262124 JPO262124 JZK262124 KJG262124 KTC262124 LCY262124 LMU262124 LWQ262124 MGM262124 MQI262124 NAE262124 NKA262124 NTW262124 ODS262124 ONO262124 OXK262124 PHG262124 PRC262124 QAY262124 QKU262124 QUQ262124 REM262124 ROI262124 RYE262124 SIA262124 SRW262124 TBS262124 TLO262124 TVK262124 UFG262124 UPC262124 UYY262124 VIU262124 VSQ262124 WCM262124 WMI262124 WWE262124 JS327660 TO327660 ADK327660 ANG327660 AXC327660 BGY327660 BQU327660 CAQ327660 CKM327660 CUI327660 DEE327660 DOA327660 DXW327660 EHS327660 ERO327660 FBK327660 FLG327660 FVC327660 GEY327660 GOU327660 GYQ327660 HIM327660 HSI327660 ICE327660 IMA327660 IVW327660 JFS327660 JPO327660 JZK327660 KJG327660 KTC327660 LCY327660 LMU327660 LWQ327660 MGM327660 MQI327660 NAE327660 NKA327660 NTW327660 ODS327660 ONO327660 OXK327660 PHG327660 PRC327660 QAY327660 QKU327660 QUQ327660 REM327660 ROI327660 RYE327660 SIA327660 SRW327660 TBS327660 TLO327660 TVK327660 UFG327660 UPC327660 UYY327660 VIU327660 VSQ327660 WCM327660 WMI327660 WWE327660 JS393196 TO393196 ADK393196 ANG393196 AXC393196 BGY393196 BQU393196 CAQ393196 CKM393196 CUI393196 DEE393196 DOA393196 DXW393196 EHS393196 ERO393196 FBK393196 FLG393196 FVC393196 GEY393196 GOU393196 GYQ393196 HIM393196 HSI393196 ICE393196 IMA393196 IVW393196 JFS393196 JPO393196 JZK393196 KJG393196 KTC393196 LCY393196 LMU393196 LWQ393196 MGM393196 MQI393196 NAE393196 NKA393196 NTW393196 ODS393196 ONO393196 OXK393196 PHG393196 PRC393196 QAY393196 QKU393196 QUQ393196 REM393196 ROI393196 RYE393196 SIA393196 SRW393196 TBS393196 TLO393196 TVK393196 UFG393196 UPC393196 UYY393196 VIU393196 VSQ393196 WCM393196 WMI393196 WWE393196 JS458732 TO458732 ADK458732 ANG458732 AXC458732 BGY458732 BQU458732 CAQ458732 CKM458732 CUI458732 DEE458732 DOA458732 DXW458732 EHS458732 ERO458732 FBK458732 FLG458732 FVC458732 GEY458732 GOU458732 GYQ458732 HIM458732 HSI458732 ICE458732 IMA458732 IVW458732 JFS458732 JPO458732 JZK458732 KJG458732 KTC458732 LCY458732 LMU458732 LWQ458732 MGM458732 MQI458732 NAE458732 NKA458732 NTW458732 ODS458732 ONO458732 OXK458732 PHG458732 PRC458732 QAY458732 QKU458732 QUQ458732 REM458732 ROI458732 RYE458732 SIA458732 SRW458732 TBS458732 TLO458732 TVK458732 UFG458732 UPC458732 UYY458732 VIU458732 VSQ458732 WCM458732 WMI458732 WWE458732 JS524268 TO524268 ADK524268 ANG524268 AXC524268 BGY524268 BQU524268 CAQ524268 CKM524268 CUI524268 DEE524268 DOA524268 DXW524268 EHS524268 ERO524268 FBK524268 FLG524268 FVC524268 GEY524268 GOU524268 GYQ524268 HIM524268 HSI524268 ICE524268 IMA524268 IVW524268 JFS524268 JPO524268 JZK524268 KJG524268 KTC524268 LCY524268 LMU524268 LWQ524268 MGM524268 MQI524268 NAE524268 NKA524268 NTW524268 ODS524268 ONO524268 OXK524268 PHG524268 PRC524268 QAY524268 QKU524268 QUQ524268 REM524268 ROI524268 RYE524268 SIA524268 SRW524268 TBS524268 TLO524268 TVK524268 UFG524268 UPC524268 UYY524268 VIU524268 VSQ524268 WCM524268 WMI524268 WWE524268 JS589804 TO589804 ADK589804 ANG589804 AXC589804 BGY589804 BQU589804 CAQ589804 CKM589804 CUI589804 DEE589804 DOA589804 DXW589804 EHS589804 ERO589804 FBK589804 FLG589804 FVC589804 GEY589804 GOU589804 GYQ589804 HIM589804 HSI589804 ICE589804 IMA589804 IVW589804 JFS589804 JPO589804 JZK589804 KJG589804 KTC589804 LCY589804 LMU589804 LWQ589804 MGM589804 MQI589804 NAE589804 NKA589804 NTW589804 ODS589804 ONO589804 OXK589804 PHG589804 PRC589804 QAY589804 QKU589804 QUQ589804 REM589804 ROI589804 RYE589804 SIA589804 SRW589804 TBS589804 TLO589804 TVK589804 UFG589804 UPC589804 UYY589804 VIU589804 VSQ589804 WCM589804 WMI589804 WWE589804 JS655340 TO655340 ADK655340 ANG655340 AXC655340 BGY655340 BQU655340 CAQ655340 CKM655340 CUI655340 DEE655340 DOA655340 DXW655340 EHS655340 ERO655340 FBK655340 FLG655340 FVC655340 GEY655340 GOU655340 GYQ655340 HIM655340 HSI655340 ICE655340 IMA655340 IVW655340 JFS655340 JPO655340 JZK655340 KJG655340 KTC655340 LCY655340 LMU655340 LWQ655340 MGM655340 MQI655340 NAE655340 NKA655340 NTW655340 ODS655340 ONO655340 OXK655340 PHG655340 PRC655340 QAY655340 QKU655340 QUQ655340 REM655340 ROI655340 RYE655340 SIA655340 SRW655340 TBS655340 TLO655340 TVK655340 UFG655340 UPC655340 UYY655340 VIU655340 VSQ655340 WCM655340 WMI655340 WWE655340 JS720876 TO720876 ADK720876 ANG720876 AXC720876 BGY720876 BQU720876 CAQ720876 CKM720876 CUI720876 DEE720876 DOA720876 DXW720876 EHS720876 ERO720876 FBK720876 FLG720876 FVC720876 GEY720876 GOU720876 GYQ720876 HIM720876 HSI720876 ICE720876 IMA720876 IVW720876 JFS720876 JPO720876 JZK720876 KJG720876 KTC720876 LCY720876 LMU720876 LWQ720876 MGM720876 MQI720876 NAE720876 NKA720876 NTW720876 ODS720876 ONO720876 OXK720876 PHG720876 PRC720876 QAY720876 QKU720876 QUQ720876 REM720876 ROI720876 RYE720876 SIA720876 SRW720876 TBS720876 TLO720876 TVK720876 UFG720876 UPC720876 UYY720876 VIU720876 VSQ720876 WCM720876 WMI720876 WWE720876 JS786412 TO786412 ADK786412 ANG786412 AXC786412 BGY786412 BQU786412 CAQ786412 CKM786412 CUI786412 DEE786412 DOA786412 DXW786412 EHS786412 ERO786412 FBK786412 FLG786412 FVC786412 GEY786412 GOU786412 GYQ786412 HIM786412 HSI786412 ICE786412 IMA786412 IVW786412 JFS786412 JPO786412 JZK786412 KJG786412 KTC786412 LCY786412 LMU786412 LWQ786412 MGM786412 MQI786412 NAE786412 NKA786412 NTW786412 ODS786412 ONO786412 OXK786412 PHG786412 PRC786412 QAY786412 QKU786412 QUQ786412 REM786412 ROI786412 RYE786412 SIA786412 SRW786412 TBS786412 TLO786412 TVK786412 UFG786412 UPC786412 UYY786412 VIU786412 VSQ786412 WCM786412 WMI786412 WWE786412 JS851948 TO851948 ADK851948 ANG851948 AXC851948 BGY851948 BQU851948 CAQ851948 CKM851948 CUI851948 DEE851948 DOA851948 DXW851948 EHS851948 ERO851948 FBK851948 FLG851948 FVC851948 GEY851948 GOU851948 GYQ851948 HIM851948 HSI851948 ICE851948 IMA851948 IVW851948 JFS851948 JPO851948 JZK851948 KJG851948 KTC851948 LCY851948 LMU851948 LWQ851948 MGM851948 MQI851948 NAE851948 NKA851948 NTW851948 ODS851948 ONO851948 OXK851948 PHG851948 PRC851948 QAY851948 QKU851948 QUQ851948 REM851948 ROI851948 RYE851948 SIA851948 SRW851948 TBS851948 TLO851948 TVK851948 UFG851948 UPC851948 UYY851948 VIU851948 VSQ851948 WCM851948 WMI851948 WWE851948 JS917484 TO917484 ADK917484 ANG917484 AXC917484 BGY917484 BQU917484 CAQ917484 CKM917484 CUI917484 DEE917484 DOA917484 DXW917484 EHS917484 ERO917484 FBK917484 FLG917484 FVC917484 GEY917484 GOU917484 GYQ917484 HIM917484 HSI917484 ICE917484 IMA917484 IVW917484 JFS917484 JPO917484 JZK917484 KJG917484 KTC917484 LCY917484 LMU917484 LWQ917484 MGM917484 MQI917484 NAE917484 NKA917484 NTW917484 ODS917484 ONO917484 OXK917484 PHG917484 PRC917484 QAY917484 QKU917484 QUQ917484 REM917484 ROI917484 RYE917484 SIA917484 SRW917484 TBS917484 TLO917484 TVK917484 UFG917484 UPC917484 UYY917484 VIU917484 VSQ917484 WCM917484 WMI917484 WWE917484 JS983020 TO983020 ADK983020 ANG983020 AXC983020 BGY983020 BQU983020 CAQ983020 CKM983020 CUI983020 DEE983020 DOA983020 DXW983020 EHS983020 ERO983020 FBK983020 FLG983020 FVC983020 GEY983020 GOU983020 GYQ983020 HIM983020 HSI983020 ICE983020 IMA983020 IVW983020 JFS983020 JPO983020 JZK983020 KJG983020 KTC983020 LCY983020 LMU983020 LWQ983020 MGM983020 MQI983020 NAE983020 NKA983020 NTW983020 ODS983020 ONO983020 OXK983020 PHG983020 PRC983020 QAY983020 QKU983020 QUQ983020 REM983020 ROI983020 RYE983020 SIA983020 SRW983020 TBS983020 TLO983020 TVK983020 UFG983020 UPC983020 UYY983020 VIU983020 VSQ983020 WCM983020 WMI983020 WWE983020"/>
    <dataValidation allowBlank="1" showInputMessage="1" showErrorMessage="1" prompt="53° 20' 52.4436''" sqref="JQ65516 TM65516 ADI65516 ANE65516 AXA65516 BGW65516 BQS65516 CAO65516 CKK65516 CUG65516 DEC65516 DNY65516 DXU65516 EHQ65516 ERM65516 FBI65516 FLE65516 FVA65516 GEW65516 GOS65516 GYO65516 HIK65516 HSG65516 ICC65516 ILY65516 IVU65516 JFQ65516 JPM65516 JZI65516 KJE65516 KTA65516 LCW65516 LMS65516 LWO65516 MGK65516 MQG65516 NAC65516 NJY65516 NTU65516 ODQ65516 ONM65516 OXI65516 PHE65516 PRA65516 QAW65516 QKS65516 QUO65516 REK65516 ROG65516 RYC65516 SHY65516 SRU65516 TBQ65516 TLM65516 TVI65516 UFE65516 UPA65516 UYW65516 VIS65516 VSO65516 WCK65516 WMG65516 WWC65516 JQ131052 TM131052 ADI131052 ANE131052 AXA131052 BGW131052 BQS131052 CAO131052 CKK131052 CUG131052 DEC131052 DNY131052 DXU131052 EHQ131052 ERM131052 FBI131052 FLE131052 FVA131052 GEW131052 GOS131052 GYO131052 HIK131052 HSG131052 ICC131052 ILY131052 IVU131052 JFQ131052 JPM131052 JZI131052 KJE131052 KTA131052 LCW131052 LMS131052 LWO131052 MGK131052 MQG131052 NAC131052 NJY131052 NTU131052 ODQ131052 ONM131052 OXI131052 PHE131052 PRA131052 QAW131052 QKS131052 QUO131052 REK131052 ROG131052 RYC131052 SHY131052 SRU131052 TBQ131052 TLM131052 TVI131052 UFE131052 UPA131052 UYW131052 VIS131052 VSO131052 WCK131052 WMG131052 WWC131052 JQ196588 TM196588 ADI196588 ANE196588 AXA196588 BGW196588 BQS196588 CAO196588 CKK196588 CUG196588 DEC196588 DNY196588 DXU196588 EHQ196588 ERM196588 FBI196588 FLE196588 FVA196588 GEW196588 GOS196588 GYO196588 HIK196588 HSG196588 ICC196588 ILY196588 IVU196588 JFQ196588 JPM196588 JZI196588 KJE196588 KTA196588 LCW196588 LMS196588 LWO196588 MGK196588 MQG196588 NAC196588 NJY196588 NTU196588 ODQ196588 ONM196588 OXI196588 PHE196588 PRA196588 QAW196588 QKS196588 QUO196588 REK196588 ROG196588 RYC196588 SHY196588 SRU196588 TBQ196588 TLM196588 TVI196588 UFE196588 UPA196588 UYW196588 VIS196588 VSO196588 WCK196588 WMG196588 WWC196588 JQ262124 TM262124 ADI262124 ANE262124 AXA262124 BGW262124 BQS262124 CAO262124 CKK262124 CUG262124 DEC262124 DNY262124 DXU262124 EHQ262124 ERM262124 FBI262124 FLE262124 FVA262124 GEW262124 GOS262124 GYO262124 HIK262124 HSG262124 ICC262124 ILY262124 IVU262124 JFQ262124 JPM262124 JZI262124 KJE262124 KTA262124 LCW262124 LMS262124 LWO262124 MGK262124 MQG262124 NAC262124 NJY262124 NTU262124 ODQ262124 ONM262124 OXI262124 PHE262124 PRA262124 QAW262124 QKS262124 QUO262124 REK262124 ROG262124 RYC262124 SHY262124 SRU262124 TBQ262124 TLM262124 TVI262124 UFE262124 UPA262124 UYW262124 VIS262124 VSO262124 WCK262124 WMG262124 WWC262124 JQ327660 TM327660 ADI327660 ANE327660 AXA327660 BGW327660 BQS327660 CAO327660 CKK327660 CUG327660 DEC327660 DNY327660 DXU327660 EHQ327660 ERM327660 FBI327660 FLE327660 FVA327660 GEW327660 GOS327660 GYO327660 HIK327660 HSG327660 ICC327660 ILY327660 IVU327660 JFQ327660 JPM327660 JZI327660 KJE327660 KTA327660 LCW327660 LMS327660 LWO327660 MGK327660 MQG327660 NAC327660 NJY327660 NTU327660 ODQ327660 ONM327660 OXI327660 PHE327660 PRA327660 QAW327660 QKS327660 QUO327660 REK327660 ROG327660 RYC327660 SHY327660 SRU327660 TBQ327660 TLM327660 TVI327660 UFE327660 UPA327660 UYW327660 VIS327660 VSO327660 WCK327660 WMG327660 WWC327660 JQ393196 TM393196 ADI393196 ANE393196 AXA393196 BGW393196 BQS393196 CAO393196 CKK393196 CUG393196 DEC393196 DNY393196 DXU393196 EHQ393196 ERM393196 FBI393196 FLE393196 FVA393196 GEW393196 GOS393196 GYO393196 HIK393196 HSG393196 ICC393196 ILY393196 IVU393196 JFQ393196 JPM393196 JZI393196 KJE393196 KTA393196 LCW393196 LMS393196 LWO393196 MGK393196 MQG393196 NAC393196 NJY393196 NTU393196 ODQ393196 ONM393196 OXI393196 PHE393196 PRA393196 QAW393196 QKS393196 QUO393196 REK393196 ROG393196 RYC393196 SHY393196 SRU393196 TBQ393196 TLM393196 TVI393196 UFE393196 UPA393196 UYW393196 VIS393196 VSO393196 WCK393196 WMG393196 WWC393196 JQ458732 TM458732 ADI458732 ANE458732 AXA458732 BGW458732 BQS458732 CAO458732 CKK458732 CUG458732 DEC458732 DNY458732 DXU458732 EHQ458732 ERM458732 FBI458732 FLE458732 FVA458732 GEW458732 GOS458732 GYO458732 HIK458732 HSG458732 ICC458732 ILY458732 IVU458732 JFQ458732 JPM458732 JZI458732 KJE458732 KTA458732 LCW458732 LMS458732 LWO458732 MGK458732 MQG458732 NAC458732 NJY458732 NTU458732 ODQ458732 ONM458732 OXI458732 PHE458732 PRA458732 QAW458732 QKS458732 QUO458732 REK458732 ROG458732 RYC458732 SHY458732 SRU458732 TBQ458732 TLM458732 TVI458732 UFE458732 UPA458732 UYW458732 VIS458732 VSO458732 WCK458732 WMG458732 WWC458732 JQ524268 TM524268 ADI524268 ANE524268 AXA524268 BGW524268 BQS524268 CAO524268 CKK524268 CUG524268 DEC524268 DNY524268 DXU524268 EHQ524268 ERM524268 FBI524268 FLE524268 FVA524268 GEW524268 GOS524268 GYO524268 HIK524268 HSG524268 ICC524268 ILY524268 IVU524268 JFQ524268 JPM524268 JZI524268 KJE524268 KTA524268 LCW524268 LMS524268 LWO524268 MGK524268 MQG524268 NAC524268 NJY524268 NTU524268 ODQ524268 ONM524268 OXI524268 PHE524268 PRA524268 QAW524268 QKS524268 QUO524268 REK524268 ROG524268 RYC524268 SHY524268 SRU524268 TBQ524268 TLM524268 TVI524268 UFE524268 UPA524268 UYW524268 VIS524268 VSO524268 WCK524268 WMG524268 WWC524268 JQ589804 TM589804 ADI589804 ANE589804 AXA589804 BGW589804 BQS589804 CAO589804 CKK589804 CUG589804 DEC589804 DNY589804 DXU589804 EHQ589804 ERM589804 FBI589804 FLE589804 FVA589804 GEW589804 GOS589804 GYO589804 HIK589804 HSG589804 ICC589804 ILY589804 IVU589804 JFQ589804 JPM589804 JZI589804 KJE589804 KTA589804 LCW589804 LMS589804 LWO589804 MGK589804 MQG589804 NAC589804 NJY589804 NTU589804 ODQ589804 ONM589804 OXI589804 PHE589804 PRA589804 QAW589804 QKS589804 QUO589804 REK589804 ROG589804 RYC589804 SHY589804 SRU589804 TBQ589804 TLM589804 TVI589804 UFE589804 UPA589804 UYW589804 VIS589804 VSO589804 WCK589804 WMG589804 WWC589804 JQ655340 TM655340 ADI655340 ANE655340 AXA655340 BGW655340 BQS655340 CAO655340 CKK655340 CUG655340 DEC655340 DNY655340 DXU655340 EHQ655340 ERM655340 FBI655340 FLE655340 FVA655340 GEW655340 GOS655340 GYO655340 HIK655340 HSG655340 ICC655340 ILY655340 IVU655340 JFQ655340 JPM655340 JZI655340 KJE655340 KTA655340 LCW655340 LMS655340 LWO655340 MGK655340 MQG655340 NAC655340 NJY655340 NTU655340 ODQ655340 ONM655340 OXI655340 PHE655340 PRA655340 QAW655340 QKS655340 QUO655340 REK655340 ROG655340 RYC655340 SHY655340 SRU655340 TBQ655340 TLM655340 TVI655340 UFE655340 UPA655340 UYW655340 VIS655340 VSO655340 WCK655340 WMG655340 WWC655340 JQ720876 TM720876 ADI720876 ANE720876 AXA720876 BGW720876 BQS720876 CAO720876 CKK720876 CUG720876 DEC720876 DNY720876 DXU720876 EHQ720876 ERM720876 FBI720876 FLE720876 FVA720876 GEW720876 GOS720876 GYO720876 HIK720876 HSG720876 ICC720876 ILY720876 IVU720876 JFQ720876 JPM720876 JZI720876 KJE720876 KTA720876 LCW720876 LMS720876 LWO720876 MGK720876 MQG720876 NAC720876 NJY720876 NTU720876 ODQ720876 ONM720876 OXI720876 PHE720876 PRA720876 QAW720876 QKS720876 QUO720876 REK720876 ROG720876 RYC720876 SHY720876 SRU720876 TBQ720876 TLM720876 TVI720876 UFE720876 UPA720876 UYW720876 VIS720876 VSO720876 WCK720876 WMG720876 WWC720876 JQ786412 TM786412 ADI786412 ANE786412 AXA786412 BGW786412 BQS786412 CAO786412 CKK786412 CUG786412 DEC786412 DNY786412 DXU786412 EHQ786412 ERM786412 FBI786412 FLE786412 FVA786412 GEW786412 GOS786412 GYO786412 HIK786412 HSG786412 ICC786412 ILY786412 IVU786412 JFQ786412 JPM786412 JZI786412 KJE786412 KTA786412 LCW786412 LMS786412 LWO786412 MGK786412 MQG786412 NAC786412 NJY786412 NTU786412 ODQ786412 ONM786412 OXI786412 PHE786412 PRA786412 QAW786412 QKS786412 QUO786412 REK786412 ROG786412 RYC786412 SHY786412 SRU786412 TBQ786412 TLM786412 TVI786412 UFE786412 UPA786412 UYW786412 VIS786412 VSO786412 WCK786412 WMG786412 WWC786412 JQ851948 TM851948 ADI851948 ANE851948 AXA851948 BGW851948 BQS851948 CAO851948 CKK851948 CUG851948 DEC851948 DNY851948 DXU851948 EHQ851948 ERM851948 FBI851948 FLE851948 FVA851948 GEW851948 GOS851948 GYO851948 HIK851948 HSG851948 ICC851948 ILY851948 IVU851948 JFQ851948 JPM851948 JZI851948 KJE851948 KTA851948 LCW851948 LMS851948 LWO851948 MGK851948 MQG851948 NAC851948 NJY851948 NTU851948 ODQ851948 ONM851948 OXI851948 PHE851948 PRA851948 QAW851948 QKS851948 QUO851948 REK851948 ROG851948 RYC851948 SHY851948 SRU851948 TBQ851948 TLM851948 TVI851948 UFE851948 UPA851948 UYW851948 VIS851948 VSO851948 WCK851948 WMG851948 WWC851948 JQ917484 TM917484 ADI917484 ANE917484 AXA917484 BGW917484 BQS917484 CAO917484 CKK917484 CUG917484 DEC917484 DNY917484 DXU917484 EHQ917484 ERM917484 FBI917484 FLE917484 FVA917484 GEW917484 GOS917484 GYO917484 HIK917484 HSG917484 ICC917484 ILY917484 IVU917484 JFQ917484 JPM917484 JZI917484 KJE917484 KTA917484 LCW917484 LMS917484 LWO917484 MGK917484 MQG917484 NAC917484 NJY917484 NTU917484 ODQ917484 ONM917484 OXI917484 PHE917484 PRA917484 QAW917484 QKS917484 QUO917484 REK917484 ROG917484 RYC917484 SHY917484 SRU917484 TBQ917484 TLM917484 TVI917484 UFE917484 UPA917484 UYW917484 VIS917484 VSO917484 WCK917484 WMG917484 WWC917484 JQ983020 TM983020 ADI983020 ANE983020 AXA983020 BGW983020 BQS983020 CAO983020 CKK983020 CUG983020 DEC983020 DNY983020 DXU983020 EHQ983020 ERM983020 FBI983020 FLE983020 FVA983020 GEW983020 GOS983020 GYO983020 HIK983020 HSG983020 ICC983020 ILY983020 IVU983020 JFQ983020 JPM983020 JZI983020 KJE983020 KTA983020 LCW983020 LMS983020 LWO983020 MGK983020 MQG983020 NAC983020 NJY983020 NTU983020 ODQ983020 ONM983020 OXI983020 PHE983020 PRA983020 QAW983020 QKS983020 QUO983020 REK983020 ROG983020 RYC983020 SHY983020 SRU983020 TBQ983020 TLM983020 TVI983020 UFE983020 UPA983020 UYW983020 VIS983020 VSO983020 WCK983020 WMG983020 WWC983020"/>
    <dataValidation allowBlank="1" showInputMessage="1" showErrorMessage="1" prompt="-6.294484" sqref="JS65512 TO65512 ADK65512 ANG65512 AXC65512 BGY65512 BQU65512 CAQ65512 CKM65512 CUI65512 DEE65512 DOA65512 DXW65512 EHS65512 ERO65512 FBK65512 FLG65512 FVC65512 GEY65512 GOU65512 GYQ65512 HIM65512 HSI65512 ICE65512 IMA65512 IVW65512 JFS65512 JPO65512 JZK65512 KJG65512 KTC65512 LCY65512 LMU65512 LWQ65512 MGM65512 MQI65512 NAE65512 NKA65512 NTW65512 ODS65512 ONO65512 OXK65512 PHG65512 PRC65512 QAY65512 QKU65512 QUQ65512 REM65512 ROI65512 RYE65512 SIA65512 SRW65512 TBS65512 TLO65512 TVK65512 UFG65512 UPC65512 UYY65512 VIU65512 VSQ65512 WCM65512 WMI65512 WWE65512 JS131048 TO131048 ADK131048 ANG131048 AXC131048 BGY131048 BQU131048 CAQ131048 CKM131048 CUI131048 DEE131048 DOA131048 DXW131048 EHS131048 ERO131048 FBK131048 FLG131048 FVC131048 GEY131048 GOU131048 GYQ131048 HIM131048 HSI131048 ICE131048 IMA131048 IVW131048 JFS131048 JPO131048 JZK131048 KJG131048 KTC131048 LCY131048 LMU131048 LWQ131048 MGM131048 MQI131048 NAE131048 NKA131048 NTW131048 ODS131048 ONO131048 OXK131048 PHG131048 PRC131048 QAY131048 QKU131048 QUQ131048 REM131048 ROI131048 RYE131048 SIA131048 SRW131048 TBS131048 TLO131048 TVK131048 UFG131048 UPC131048 UYY131048 VIU131048 VSQ131048 WCM131048 WMI131048 WWE131048 JS196584 TO196584 ADK196584 ANG196584 AXC196584 BGY196584 BQU196584 CAQ196584 CKM196584 CUI196584 DEE196584 DOA196584 DXW196584 EHS196584 ERO196584 FBK196584 FLG196584 FVC196584 GEY196584 GOU196584 GYQ196584 HIM196584 HSI196584 ICE196584 IMA196584 IVW196584 JFS196584 JPO196584 JZK196584 KJG196584 KTC196584 LCY196584 LMU196584 LWQ196584 MGM196584 MQI196584 NAE196584 NKA196584 NTW196584 ODS196584 ONO196584 OXK196584 PHG196584 PRC196584 QAY196584 QKU196584 QUQ196584 REM196584 ROI196584 RYE196584 SIA196584 SRW196584 TBS196584 TLO196584 TVK196584 UFG196584 UPC196584 UYY196584 VIU196584 VSQ196584 WCM196584 WMI196584 WWE196584 JS262120 TO262120 ADK262120 ANG262120 AXC262120 BGY262120 BQU262120 CAQ262120 CKM262120 CUI262120 DEE262120 DOA262120 DXW262120 EHS262120 ERO262120 FBK262120 FLG262120 FVC262120 GEY262120 GOU262120 GYQ262120 HIM262120 HSI262120 ICE262120 IMA262120 IVW262120 JFS262120 JPO262120 JZK262120 KJG262120 KTC262120 LCY262120 LMU262120 LWQ262120 MGM262120 MQI262120 NAE262120 NKA262120 NTW262120 ODS262120 ONO262120 OXK262120 PHG262120 PRC262120 QAY262120 QKU262120 QUQ262120 REM262120 ROI262120 RYE262120 SIA262120 SRW262120 TBS262120 TLO262120 TVK262120 UFG262120 UPC262120 UYY262120 VIU262120 VSQ262120 WCM262120 WMI262120 WWE262120 JS327656 TO327656 ADK327656 ANG327656 AXC327656 BGY327656 BQU327656 CAQ327656 CKM327656 CUI327656 DEE327656 DOA327656 DXW327656 EHS327656 ERO327656 FBK327656 FLG327656 FVC327656 GEY327656 GOU327656 GYQ327656 HIM327656 HSI327656 ICE327656 IMA327656 IVW327656 JFS327656 JPO327656 JZK327656 KJG327656 KTC327656 LCY327656 LMU327656 LWQ327656 MGM327656 MQI327656 NAE327656 NKA327656 NTW327656 ODS327656 ONO327656 OXK327656 PHG327656 PRC327656 QAY327656 QKU327656 QUQ327656 REM327656 ROI327656 RYE327656 SIA327656 SRW327656 TBS327656 TLO327656 TVK327656 UFG327656 UPC327656 UYY327656 VIU327656 VSQ327656 WCM327656 WMI327656 WWE327656 JS393192 TO393192 ADK393192 ANG393192 AXC393192 BGY393192 BQU393192 CAQ393192 CKM393192 CUI393192 DEE393192 DOA393192 DXW393192 EHS393192 ERO393192 FBK393192 FLG393192 FVC393192 GEY393192 GOU393192 GYQ393192 HIM393192 HSI393192 ICE393192 IMA393192 IVW393192 JFS393192 JPO393192 JZK393192 KJG393192 KTC393192 LCY393192 LMU393192 LWQ393192 MGM393192 MQI393192 NAE393192 NKA393192 NTW393192 ODS393192 ONO393192 OXK393192 PHG393192 PRC393192 QAY393192 QKU393192 QUQ393192 REM393192 ROI393192 RYE393192 SIA393192 SRW393192 TBS393192 TLO393192 TVK393192 UFG393192 UPC393192 UYY393192 VIU393192 VSQ393192 WCM393192 WMI393192 WWE393192 JS458728 TO458728 ADK458728 ANG458728 AXC458728 BGY458728 BQU458728 CAQ458728 CKM458728 CUI458728 DEE458728 DOA458728 DXW458728 EHS458728 ERO458728 FBK458728 FLG458728 FVC458728 GEY458728 GOU458728 GYQ458728 HIM458728 HSI458728 ICE458728 IMA458728 IVW458728 JFS458728 JPO458728 JZK458728 KJG458728 KTC458728 LCY458728 LMU458728 LWQ458728 MGM458728 MQI458728 NAE458728 NKA458728 NTW458728 ODS458728 ONO458728 OXK458728 PHG458728 PRC458728 QAY458728 QKU458728 QUQ458728 REM458728 ROI458728 RYE458728 SIA458728 SRW458728 TBS458728 TLO458728 TVK458728 UFG458728 UPC458728 UYY458728 VIU458728 VSQ458728 WCM458728 WMI458728 WWE458728 JS524264 TO524264 ADK524264 ANG524264 AXC524264 BGY524264 BQU524264 CAQ524264 CKM524264 CUI524264 DEE524264 DOA524264 DXW524264 EHS524264 ERO524264 FBK524264 FLG524264 FVC524264 GEY524264 GOU524264 GYQ524264 HIM524264 HSI524264 ICE524264 IMA524264 IVW524264 JFS524264 JPO524264 JZK524264 KJG524264 KTC524264 LCY524264 LMU524264 LWQ524264 MGM524264 MQI524264 NAE524264 NKA524264 NTW524264 ODS524264 ONO524264 OXK524264 PHG524264 PRC524264 QAY524264 QKU524264 QUQ524264 REM524264 ROI524264 RYE524264 SIA524264 SRW524264 TBS524264 TLO524264 TVK524264 UFG524264 UPC524264 UYY524264 VIU524264 VSQ524264 WCM524264 WMI524264 WWE524264 JS589800 TO589800 ADK589800 ANG589800 AXC589800 BGY589800 BQU589800 CAQ589800 CKM589800 CUI589800 DEE589800 DOA589800 DXW589800 EHS589800 ERO589800 FBK589800 FLG589800 FVC589800 GEY589800 GOU589800 GYQ589800 HIM589800 HSI589800 ICE589800 IMA589800 IVW589800 JFS589800 JPO589800 JZK589800 KJG589800 KTC589800 LCY589800 LMU589800 LWQ589800 MGM589800 MQI589800 NAE589800 NKA589800 NTW589800 ODS589800 ONO589800 OXK589800 PHG589800 PRC589800 QAY589800 QKU589800 QUQ589800 REM589800 ROI589800 RYE589800 SIA589800 SRW589800 TBS589800 TLO589800 TVK589800 UFG589800 UPC589800 UYY589800 VIU589800 VSQ589800 WCM589800 WMI589800 WWE589800 JS655336 TO655336 ADK655336 ANG655336 AXC655336 BGY655336 BQU655336 CAQ655336 CKM655336 CUI655336 DEE655336 DOA655336 DXW655336 EHS655336 ERO655336 FBK655336 FLG655336 FVC655336 GEY655336 GOU655336 GYQ655336 HIM655336 HSI655336 ICE655336 IMA655336 IVW655336 JFS655336 JPO655336 JZK655336 KJG655336 KTC655336 LCY655336 LMU655336 LWQ655336 MGM655336 MQI655336 NAE655336 NKA655336 NTW655336 ODS655336 ONO655336 OXK655336 PHG655336 PRC655336 QAY655336 QKU655336 QUQ655336 REM655336 ROI655336 RYE655336 SIA655336 SRW655336 TBS655336 TLO655336 TVK655336 UFG655336 UPC655336 UYY655336 VIU655336 VSQ655336 WCM655336 WMI655336 WWE655336 JS720872 TO720872 ADK720872 ANG720872 AXC720872 BGY720872 BQU720872 CAQ720872 CKM720872 CUI720872 DEE720872 DOA720872 DXW720872 EHS720872 ERO720872 FBK720872 FLG720872 FVC720872 GEY720872 GOU720872 GYQ720872 HIM720872 HSI720872 ICE720872 IMA720872 IVW720872 JFS720872 JPO720872 JZK720872 KJG720872 KTC720872 LCY720872 LMU720872 LWQ720872 MGM720872 MQI720872 NAE720872 NKA720872 NTW720872 ODS720872 ONO720872 OXK720872 PHG720872 PRC720872 QAY720872 QKU720872 QUQ720872 REM720872 ROI720872 RYE720872 SIA720872 SRW720872 TBS720872 TLO720872 TVK720872 UFG720872 UPC720872 UYY720872 VIU720872 VSQ720872 WCM720872 WMI720872 WWE720872 JS786408 TO786408 ADK786408 ANG786408 AXC786408 BGY786408 BQU786408 CAQ786408 CKM786408 CUI786408 DEE786408 DOA786408 DXW786408 EHS786408 ERO786408 FBK786408 FLG786408 FVC786408 GEY786408 GOU786408 GYQ786408 HIM786408 HSI786408 ICE786408 IMA786408 IVW786408 JFS786408 JPO786408 JZK786408 KJG786408 KTC786408 LCY786408 LMU786408 LWQ786408 MGM786408 MQI786408 NAE786408 NKA786408 NTW786408 ODS786408 ONO786408 OXK786408 PHG786408 PRC786408 QAY786408 QKU786408 QUQ786408 REM786408 ROI786408 RYE786408 SIA786408 SRW786408 TBS786408 TLO786408 TVK786408 UFG786408 UPC786408 UYY786408 VIU786408 VSQ786408 WCM786408 WMI786408 WWE786408 JS851944 TO851944 ADK851944 ANG851944 AXC851944 BGY851944 BQU851944 CAQ851944 CKM851944 CUI851944 DEE851944 DOA851944 DXW851944 EHS851944 ERO851944 FBK851944 FLG851944 FVC851944 GEY851944 GOU851944 GYQ851944 HIM851944 HSI851944 ICE851944 IMA851944 IVW851944 JFS851944 JPO851944 JZK851944 KJG851944 KTC851944 LCY851944 LMU851944 LWQ851944 MGM851944 MQI851944 NAE851944 NKA851944 NTW851944 ODS851944 ONO851944 OXK851944 PHG851944 PRC851944 QAY851944 QKU851944 QUQ851944 REM851944 ROI851944 RYE851944 SIA851944 SRW851944 TBS851944 TLO851944 TVK851944 UFG851944 UPC851944 UYY851944 VIU851944 VSQ851944 WCM851944 WMI851944 WWE851944 JS917480 TO917480 ADK917480 ANG917480 AXC917480 BGY917480 BQU917480 CAQ917480 CKM917480 CUI917480 DEE917480 DOA917480 DXW917480 EHS917480 ERO917480 FBK917480 FLG917480 FVC917480 GEY917480 GOU917480 GYQ917480 HIM917480 HSI917480 ICE917480 IMA917480 IVW917480 JFS917480 JPO917480 JZK917480 KJG917480 KTC917480 LCY917480 LMU917480 LWQ917480 MGM917480 MQI917480 NAE917480 NKA917480 NTW917480 ODS917480 ONO917480 OXK917480 PHG917480 PRC917480 QAY917480 QKU917480 QUQ917480 REM917480 ROI917480 RYE917480 SIA917480 SRW917480 TBS917480 TLO917480 TVK917480 UFG917480 UPC917480 UYY917480 VIU917480 VSQ917480 WCM917480 WMI917480 WWE917480 JS983016 TO983016 ADK983016 ANG983016 AXC983016 BGY983016 BQU983016 CAQ983016 CKM983016 CUI983016 DEE983016 DOA983016 DXW983016 EHS983016 ERO983016 FBK983016 FLG983016 FVC983016 GEY983016 GOU983016 GYQ983016 HIM983016 HSI983016 ICE983016 IMA983016 IVW983016 JFS983016 JPO983016 JZK983016 KJG983016 KTC983016 LCY983016 LMU983016 LWQ983016 MGM983016 MQI983016 NAE983016 NKA983016 NTW983016 ODS983016 ONO983016 OXK983016 PHG983016 PRC983016 QAY983016 QKU983016 QUQ983016 REM983016 ROI983016 RYE983016 SIA983016 SRW983016 TBS983016 TLO983016 TVK983016 UFG983016 UPC983016 UYY983016 VIU983016 VSQ983016 WCM983016 WMI983016 WWE983016"/>
    <dataValidation allowBlank="1" showInputMessage="1" showErrorMessage="1" prompt="53.347901" sqref="JQ65512 TM65512 ADI65512 ANE65512 AXA65512 BGW65512 BQS65512 CAO65512 CKK65512 CUG65512 DEC65512 DNY65512 DXU65512 EHQ65512 ERM65512 FBI65512 FLE65512 FVA65512 GEW65512 GOS65512 GYO65512 HIK65512 HSG65512 ICC65512 ILY65512 IVU65512 JFQ65512 JPM65512 JZI65512 KJE65512 KTA65512 LCW65512 LMS65512 LWO65512 MGK65512 MQG65512 NAC65512 NJY65512 NTU65512 ODQ65512 ONM65512 OXI65512 PHE65512 PRA65512 QAW65512 QKS65512 QUO65512 REK65512 ROG65512 RYC65512 SHY65512 SRU65512 TBQ65512 TLM65512 TVI65512 UFE65512 UPA65512 UYW65512 VIS65512 VSO65512 WCK65512 WMG65512 WWC65512 JQ131048 TM131048 ADI131048 ANE131048 AXA131048 BGW131048 BQS131048 CAO131048 CKK131048 CUG131048 DEC131048 DNY131048 DXU131048 EHQ131048 ERM131048 FBI131048 FLE131048 FVA131048 GEW131048 GOS131048 GYO131048 HIK131048 HSG131048 ICC131048 ILY131048 IVU131048 JFQ131048 JPM131048 JZI131048 KJE131048 KTA131048 LCW131048 LMS131048 LWO131048 MGK131048 MQG131048 NAC131048 NJY131048 NTU131048 ODQ131048 ONM131048 OXI131048 PHE131048 PRA131048 QAW131048 QKS131048 QUO131048 REK131048 ROG131048 RYC131048 SHY131048 SRU131048 TBQ131048 TLM131048 TVI131048 UFE131048 UPA131048 UYW131048 VIS131048 VSO131048 WCK131048 WMG131048 WWC131048 JQ196584 TM196584 ADI196584 ANE196584 AXA196584 BGW196584 BQS196584 CAO196584 CKK196584 CUG196584 DEC196584 DNY196584 DXU196584 EHQ196584 ERM196584 FBI196584 FLE196584 FVA196584 GEW196584 GOS196584 GYO196584 HIK196584 HSG196584 ICC196584 ILY196584 IVU196584 JFQ196584 JPM196584 JZI196584 KJE196584 KTA196584 LCW196584 LMS196584 LWO196584 MGK196584 MQG196584 NAC196584 NJY196584 NTU196584 ODQ196584 ONM196584 OXI196584 PHE196584 PRA196584 QAW196584 QKS196584 QUO196584 REK196584 ROG196584 RYC196584 SHY196584 SRU196584 TBQ196584 TLM196584 TVI196584 UFE196584 UPA196584 UYW196584 VIS196584 VSO196584 WCK196584 WMG196584 WWC196584 JQ262120 TM262120 ADI262120 ANE262120 AXA262120 BGW262120 BQS262120 CAO262120 CKK262120 CUG262120 DEC262120 DNY262120 DXU262120 EHQ262120 ERM262120 FBI262120 FLE262120 FVA262120 GEW262120 GOS262120 GYO262120 HIK262120 HSG262120 ICC262120 ILY262120 IVU262120 JFQ262120 JPM262120 JZI262120 KJE262120 KTA262120 LCW262120 LMS262120 LWO262120 MGK262120 MQG262120 NAC262120 NJY262120 NTU262120 ODQ262120 ONM262120 OXI262120 PHE262120 PRA262120 QAW262120 QKS262120 QUO262120 REK262120 ROG262120 RYC262120 SHY262120 SRU262120 TBQ262120 TLM262120 TVI262120 UFE262120 UPA262120 UYW262120 VIS262120 VSO262120 WCK262120 WMG262120 WWC262120 JQ327656 TM327656 ADI327656 ANE327656 AXA327656 BGW327656 BQS327656 CAO327656 CKK327656 CUG327656 DEC327656 DNY327656 DXU327656 EHQ327656 ERM327656 FBI327656 FLE327656 FVA327656 GEW327656 GOS327656 GYO327656 HIK327656 HSG327656 ICC327656 ILY327656 IVU327656 JFQ327656 JPM327656 JZI327656 KJE327656 KTA327656 LCW327656 LMS327656 LWO327656 MGK327656 MQG327656 NAC327656 NJY327656 NTU327656 ODQ327656 ONM327656 OXI327656 PHE327656 PRA327656 QAW327656 QKS327656 QUO327656 REK327656 ROG327656 RYC327656 SHY327656 SRU327656 TBQ327656 TLM327656 TVI327656 UFE327656 UPA327656 UYW327656 VIS327656 VSO327656 WCK327656 WMG327656 WWC327656 JQ393192 TM393192 ADI393192 ANE393192 AXA393192 BGW393192 BQS393192 CAO393192 CKK393192 CUG393192 DEC393192 DNY393192 DXU393192 EHQ393192 ERM393192 FBI393192 FLE393192 FVA393192 GEW393192 GOS393192 GYO393192 HIK393192 HSG393192 ICC393192 ILY393192 IVU393192 JFQ393192 JPM393192 JZI393192 KJE393192 KTA393192 LCW393192 LMS393192 LWO393192 MGK393192 MQG393192 NAC393192 NJY393192 NTU393192 ODQ393192 ONM393192 OXI393192 PHE393192 PRA393192 QAW393192 QKS393192 QUO393192 REK393192 ROG393192 RYC393192 SHY393192 SRU393192 TBQ393192 TLM393192 TVI393192 UFE393192 UPA393192 UYW393192 VIS393192 VSO393192 WCK393192 WMG393192 WWC393192 JQ458728 TM458728 ADI458728 ANE458728 AXA458728 BGW458728 BQS458728 CAO458728 CKK458728 CUG458728 DEC458728 DNY458728 DXU458728 EHQ458728 ERM458728 FBI458728 FLE458728 FVA458728 GEW458728 GOS458728 GYO458728 HIK458728 HSG458728 ICC458728 ILY458728 IVU458728 JFQ458728 JPM458728 JZI458728 KJE458728 KTA458728 LCW458728 LMS458728 LWO458728 MGK458728 MQG458728 NAC458728 NJY458728 NTU458728 ODQ458728 ONM458728 OXI458728 PHE458728 PRA458728 QAW458728 QKS458728 QUO458728 REK458728 ROG458728 RYC458728 SHY458728 SRU458728 TBQ458728 TLM458728 TVI458728 UFE458728 UPA458728 UYW458728 VIS458728 VSO458728 WCK458728 WMG458728 WWC458728 JQ524264 TM524264 ADI524264 ANE524264 AXA524264 BGW524264 BQS524264 CAO524264 CKK524264 CUG524264 DEC524264 DNY524264 DXU524264 EHQ524264 ERM524264 FBI524264 FLE524264 FVA524264 GEW524264 GOS524264 GYO524264 HIK524264 HSG524264 ICC524264 ILY524264 IVU524264 JFQ524264 JPM524264 JZI524264 KJE524264 KTA524264 LCW524264 LMS524264 LWO524264 MGK524264 MQG524264 NAC524264 NJY524264 NTU524264 ODQ524264 ONM524264 OXI524264 PHE524264 PRA524264 QAW524264 QKS524264 QUO524264 REK524264 ROG524264 RYC524264 SHY524264 SRU524264 TBQ524264 TLM524264 TVI524264 UFE524264 UPA524264 UYW524264 VIS524264 VSO524264 WCK524264 WMG524264 WWC524264 JQ589800 TM589800 ADI589800 ANE589800 AXA589800 BGW589800 BQS589800 CAO589800 CKK589800 CUG589800 DEC589800 DNY589800 DXU589800 EHQ589800 ERM589800 FBI589800 FLE589800 FVA589800 GEW589800 GOS589800 GYO589800 HIK589800 HSG589800 ICC589800 ILY589800 IVU589800 JFQ589800 JPM589800 JZI589800 KJE589800 KTA589800 LCW589800 LMS589800 LWO589800 MGK589800 MQG589800 NAC589800 NJY589800 NTU589800 ODQ589800 ONM589800 OXI589800 PHE589800 PRA589800 QAW589800 QKS589800 QUO589800 REK589800 ROG589800 RYC589800 SHY589800 SRU589800 TBQ589800 TLM589800 TVI589800 UFE589800 UPA589800 UYW589800 VIS589800 VSO589800 WCK589800 WMG589800 WWC589800 JQ655336 TM655336 ADI655336 ANE655336 AXA655336 BGW655336 BQS655336 CAO655336 CKK655336 CUG655336 DEC655336 DNY655336 DXU655336 EHQ655336 ERM655336 FBI655336 FLE655336 FVA655336 GEW655336 GOS655336 GYO655336 HIK655336 HSG655336 ICC655336 ILY655336 IVU655336 JFQ655336 JPM655336 JZI655336 KJE655336 KTA655336 LCW655336 LMS655336 LWO655336 MGK655336 MQG655336 NAC655336 NJY655336 NTU655336 ODQ655336 ONM655336 OXI655336 PHE655336 PRA655336 QAW655336 QKS655336 QUO655336 REK655336 ROG655336 RYC655336 SHY655336 SRU655336 TBQ655336 TLM655336 TVI655336 UFE655336 UPA655336 UYW655336 VIS655336 VSO655336 WCK655336 WMG655336 WWC655336 JQ720872 TM720872 ADI720872 ANE720872 AXA720872 BGW720872 BQS720872 CAO720872 CKK720872 CUG720872 DEC720872 DNY720872 DXU720872 EHQ720872 ERM720872 FBI720872 FLE720872 FVA720872 GEW720872 GOS720872 GYO720872 HIK720872 HSG720872 ICC720872 ILY720872 IVU720872 JFQ720872 JPM720872 JZI720872 KJE720872 KTA720872 LCW720872 LMS720872 LWO720872 MGK720872 MQG720872 NAC720872 NJY720872 NTU720872 ODQ720872 ONM720872 OXI720872 PHE720872 PRA720872 QAW720872 QKS720872 QUO720872 REK720872 ROG720872 RYC720872 SHY720872 SRU720872 TBQ720872 TLM720872 TVI720872 UFE720872 UPA720872 UYW720872 VIS720872 VSO720872 WCK720872 WMG720872 WWC720872 JQ786408 TM786408 ADI786408 ANE786408 AXA786408 BGW786408 BQS786408 CAO786408 CKK786408 CUG786408 DEC786408 DNY786408 DXU786408 EHQ786408 ERM786408 FBI786408 FLE786408 FVA786408 GEW786408 GOS786408 GYO786408 HIK786408 HSG786408 ICC786408 ILY786408 IVU786408 JFQ786408 JPM786408 JZI786408 KJE786408 KTA786408 LCW786408 LMS786408 LWO786408 MGK786408 MQG786408 NAC786408 NJY786408 NTU786408 ODQ786408 ONM786408 OXI786408 PHE786408 PRA786408 QAW786408 QKS786408 QUO786408 REK786408 ROG786408 RYC786408 SHY786408 SRU786408 TBQ786408 TLM786408 TVI786408 UFE786408 UPA786408 UYW786408 VIS786408 VSO786408 WCK786408 WMG786408 WWC786408 JQ851944 TM851944 ADI851944 ANE851944 AXA851944 BGW851944 BQS851944 CAO851944 CKK851944 CUG851944 DEC851944 DNY851944 DXU851944 EHQ851944 ERM851944 FBI851944 FLE851944 FVA851944 GEW851944 GOS851944 GYO851944 HIK851944 HSG851944 ICC851944 ILY851944 IVU851944 JFQ851944 JPM851944 JZI851944 KJE851944 KTA851944 LCW851944 LMS851944 LWO851944 MGK851944 MQG851944 NAC851944 NJY851944 NTU851944 ODQ851944 ONM851944 OXI851944 PHE851944 PRA851944 QAW851944 QKS851944 QUO851944 REK851944 ROG851944 RYC851944 SHY851944 SRU851944 TBQ851944 TLM851944 TVI851944 UFE851944 UPA851944 UYW851944 VIS851944 VSO851944 WCK851944 WMG851944 WWC851944 JQ917480 TM917480 ADI917480 ANE917480 AXA917480 BGW917480 BQS917480 CAO917480 CKK917480 CUG917480 DEC917480 DNY917480 DXU917480 EHQ917480 ERM917480 FBI917480 FLE917480 FVA917480 GEW917480 GOS917480 GYO917480 HIK917480 HSG917480 ICC917480 ILY917480 IVU917480 JFQ917480 JPM917480 JZI917480 KJE917480 KTA917480 LCW917480 LMS917480 LWO917480 MGK917480 MQG917480 NAC917480 NJY917480 NTU917480 ODQ917480 ONM917480 OXI917480 PHE917480 PRA917480 QAW917480 QKS917480 QUO917480 REK917480 ROG917480 RYC917480 SHY917480 SRU917480 TBQ917480 TLM917480 TVI917480 UFE917480 UPA917480 UYW917480 VIS917480 VSO917480 WCK917480 WMG917480 WWC917480 JQ983016 TM983016 ADI983016 ANE983016 AXA983016 BGW983016 BQS983016 CAO983016 CKK983016 CUG983016 DEC983016 DNY983016 DXU983016 EHQ983016 ERM983016 FBI983016 FLE983016 FVA983016 GEW983016 GOS983016 GYO983016 HIK983016 HSG983016 ICC983016 ILY983016 IVU983016 JFQ983016 JPM983016 JZI983016 KJE983016 KTA983016 LCW983016 LMS983016 LWO983016 MGK983016 MQG983016 NAC983016 NJY983016 NTU983016 ODQ983016 ONM983016 OXI983016 PHE983016 PRA983016 QAW983016 QKS983016 QUO983016 REK983016 ROG983016 RYC983016 SHY983016 SRU983016 TBQ983016 TLM983016 TVI983016 UFE983016 UPA983016 UYW983016 VIS983016 VSO983016 WCK983016 WMG983016 WWC983016"/>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view="pageLayout" zoomScale="85" zoomScaleNormal="100" zoomScalePageLayoutView="85" workbookViewId="0">
      <selection activeCell="A7" sqref="A7"/>
    </sheetView>
  </sheetViews>
  <sheetFormatPr defaultRowHeight="15" customHeight="1" x14ac:dyDescent="0.3"/>
  <cols>
    <col min="1" max="1" width="2.6640625" style="2" customWidth="1"/>
    <col min="2" max="25" width="5.33203125" style="2" customWidth="1"/>
    <col min="26" max="275" width="7.6640625" style="2" customWidth="1"/>
    <col min="276" max="276" width="14.33203125" style="2" customWidth="1"/>
    <col min="277" max="277" width="4" style="2" customWidth="1"/>
    <col min="278" max="278" width="14.33203125" style="2" customWidth="1"/>
    <col min="279" max="279" width="4" style="2" customWidth="1"/>
    <col min="280" max="531" width="7.6640625" style="2" customWidth="1"/>
    <col min="532" max="532" width="14.33203125" style="2" customWidth="1"/>
    <col min="533" max="533" width="4" style="2" customWidth="1"/>
    <col min="534" max="534" width="14.33203125" style="2" customWidth="1"/>
    <col min="535" max="535" width="4" style="2" customWidth="1"/>
    <col min="536" max="787" width="7.6640625" style="2" customWidth="1"/>
    <col min="788" max="788" width="14.33203125" style="2" customWidth="1"/>
    <col min="789" max="789" width="4" style="2" customWidth="1"/>
    <col min="790" max="790" width="14.33203125" style="2" customWidth="1"/>
    <col min="791" max="791" width="4" style="2" customWidth="1"/>
    <col min="792" max="1043" width="7.6640625" style="2" customWidth="1"/>
    <col min="1044" max="1044" width="14.33203125" style="2" customWidth="1"/>
    <col min="1045" max="1045" width="4" style="2" customWidth="1"/>
    <col min="1046" max="1046" width="14.33203125" style="2" customWidth="1"/>
    <col min="1047" max="1047" width="4" style="2" customWidth="1"/>
    <col min="1048" max="1299" width="7.6640625" style="2" customWidth="1"/>
    <col min="1300" max="1300" width="14.33203125" style="2" customWidth="1"/>
    <col min="1301" max="1301" width="4" style="2" customWidth="1"/>
    <col min="1302" max="1302" width="14.33203125" style="2" customWidth="1"/>
    <col min="1303" max="1303" width="4" style="2" customWidth="1"/>
    <col min="1304" max="1555" width="7.6640625" style="2" customWidth="1"/>
    <col min="1556" max="1556" width="14.33203125" style="2" customWidth="1"/>
    <col min="1557" max="1557" width="4" style="2" customWidth="1"/>
    <col min="1558" max="1558" width="14.33203125" style="2" customWidth="1"/>
    <col min="1559" max="1559" width="4" style="2" customWidth="1"/>
    <col min="1560" max="1811" width="7.6640625" style="2" customWidth="1"/>
    <col min="1812" max="1812" width="14.33203125" style="2" customWidth="1"/>
    <col min="1813" max="1813" width="4" style="2" customWidth="1"/>
    <col min="1814" max="1814" width="14.33203125" style="2" customWidth="1"/>
    <col min="1815" max="1815" width="4" style="2" customWidth="1"/>
    <col min="1816" max="2067" width="7.6640625" style="2" customWidth="1"/>
    <col min="2068" max="2068" width="14.33203125" style="2" customWidth="1"/>
    <col min="2069" max="2069" width="4" style="2" customWidth="1"/>
    <col min="2070" max="2070" width="14.33203125" style="2" customWidth="1"/>
    <col min="2071" max="2071" width="4" style="2" customWidth="1"/>
    <col min="2072" max="2323" width="7.6640625" style="2" customWidth="1"/>
    <col min="2324" max="2324" width="14.33203125" style="2" customWidth="1"/>
    <col min="2325" max="2325" width="4" style="2" customWidth="1"/>
    <col min="2326" max="2326" width="14.33203125" style="2" customWidth="1"/>
    <col min="2327" max="2327" width="4" style="2" customWidth="1"/>
    <col min="2328" max="2579" width="7.6640625" style="2" customWidth="1"/>
    <col min="2580" max="2580" width="14.33203125" style="2" customWidth="1"/>
    <col min="2581" max="2581" width="4" style="2" customWidth="1"/>
    <col min="2582" max="2582" width="14.33203125" style="2" customWidth="1"/>
    <col min="2583" max="2583" width="4" style="2" customWidth="1"/>
    <col min="2584" max="2835" width="7.6640625" style="2" customWidth="1"/>
    <col min="2836" max="2836" width="14.33203125" style="2" customWidth="1"/>
    <col min="2837" max="2837" width="4" style="2" customWidth="1"/>
    <col min="2838" max="2838" width="14.33203125" style="2" customWidth="1"/>
    <col min="2839" max="2839" width="4" style="2" customWidth="1"/>
    <col min="2840" max="3091" width="7.6640625" style="2" customWidth="1"/>
    <col min="3092" max="3092" width="14.33203125" style="2" customWidth="1"/>
    <col min="3093" max="3093" width="4" style="2" customWidth="1"/>
    <col min="3094" max="3094" width="14.33203125" style="2" customWidth="1"/>
    <col min="3095" max="3095" width="4" style="2" customWidth="1"/>
    <col min="3096" max="3347" width="7.6640625" style="2" customWidth="1"/>
    <col min="3348" max="3348" width="14.33203125" style="2" customWidth="1"/>
    <col min="3349" max="3349" width="4" style="2" customWidth="1"/>
    <col min="3350" max="3350" width="14.33203125" style="2" customWidth="1"/>
    <col min="3351" max="3351" width="4" style="2" customWidth="1"/>
    <col min="3352" max="3603" width="7.6640625" style="2" customWidth="1"/>
    <col min="3604" max="3604" width="14.33203125" style="2" customWidth="1"/>
    <col min="3605" max="3605" width="4" style="2" customWidth="1"/>
    <col min="3606" max="3606" width="14.33203125" style="2" customWidth="1"/>
    <col min="3607" max="3607" width="4" style="2" customWidth="1"/>
    <col min="3608" max="3859" width="7.6640625" style="2" customWidth="1"/>
    <col min="3860" max="3860" width="14.33203125" style="2" customWidth="1"/>
    <col min="3861" max="3861" width="4" style="2" customWidth="1"/>
    <col min="3862" max="3862" width="14.33203125" style="2" customWidth="1"/>
    <col min="3863" max="3863" width="4" style="2" customWidth="1"/>
    <col min="3864" max="4115" width="7.6640625" style="2" customWidth="1"/>
    <col min="4116" max="4116" width="14.33203125" style="2" customWidth="1"/>
    <col min="4117" max="4117" width="4" style="2" customWidth="1"/>
    <col min="4118" max="4118" width="14.33203125" style="2" customWidth="1"/>
    <col min="4119" max="4119" width="4" style="2" customWidth="1"/>
    <col min="4120" max="4371" width="7.6640625" style="2" customWidth="1"/>
    <col min="4372" max="4372" width="14.33203125" style="2" customWidth="1"/>
    <col min="4373" max="4373" width="4" style="2" customWidth="1"/>
    <col min="4374" max="4374" width="14.33203125" style="2" customWidth="1"/>
    <col min="4375" max="4375" width="4" style="2" customWidth="1"/>
    <col min="4376" max="4627" width="7.6640625" style="2" customWidth="1"/>
    <col min="4628" max="4628" width="14.33203125" style="2" customWidth="1"/>
    <col min="4629" max="4629" width="4" style="2" customWidth="1"/>
    <col min="4630" max="4630" width="14.33203125" style="2" customWidth="1"/>
    <col min="4631" max="4631" width="4" style="2" customWidth="1"/>
    <col min="4632" max="4883" width="7.6640625" style="2" customWidth="1"/>
    <col min="4884" max="4884" width="14.33203125" style="2" customWidth="1"/>
    <col min="4885" max="4885" width="4" style="2" customWidth="1"/>
    <col min="4886" max="4886" width="14.33203125" style="2" customWidth="1"/>
    <col min="4887" max="4887" width="4" style="2" customWidth="1"/>
    <col min="4888" max="5139" width="7.6640625" style="2" customWidth="1"/>
    <col min="5140" max="5140" width="14.33203125" style="2" customWidth="1"/>
    <col min="5141" max="5141" width="4" style="2" customWidth="1"/>
    <col min="5142" max="5142" width="14.33203125" style="2" customWidth="1"/>
    <col min="5143" max="5143" width="4" style="2" customWidth="1"/>
    <col min="5144" max="5395" width="7.6640625" style="2" customWidth="1"/>
    <col min="5396" max="5396" width="14.33203125" style="2" customWidth="1"/>
    <col min="5397" max="5397" width="4" style="2" customWidth="1"/>
    <col min="5398" max="5398" width="14.33203125" style="2" customWidth="1"/>
    <col min="5399" max="5399" width="4" style="2" customWidth="1"/>
    <col min="5400" max="5651" width="7.6640625" style="2" customWidth="1"/>
    <col min="5652" max="5652" width="14.33203125" style="2" customWidth="1"/>
    <col min="5653" max="5653" width="4" style="2" customWidth="1"/>
    <col min="5654" max="5654" width="14.33203125" style="2" customWidth="1"/>
    <col min="5655" max="5655" width="4" style="2" customWidth="1"/>
    <col min="5656" max="5907" width="7.6640625" style="2" customWidth="1"/>
    <col min="5908" max="5908" width="14.33203125" style="2" customWidth="1"/>
    <col min="5909" max="5909" width="4" style="2" customWidth="1"/>
    <col min="5910" max="5910" width="14.33203125" style="2" customWidth="1"/>
    <col min="5911" max="5911" width="4" style="2" customWidth="1"/>
    <col min="5912" max="6163" width="7.6640625" style="2" customWidth="1"/>
    <col min="6164" max="6164" width="14.33203125" style="2" customWidth="1"/>
    <col min="6165" max="6165" width="4" style="2" customWidth="1"/>
    <col min="6166" max="6166" width="14.33203125" style="2" customWidth="1"/>
    <col min="6167" max="6167" width="4" style="2" customWidth="1"/>
    <col min="6168" max="6419" width="7.6640625" style="2" customWidth="1"/>
    <col min="6420" max="6420" width="14.33203125" style="2" customWidth="1"/>
    <col min="6421" max="6421" width="4" style="2" customWidth="1"/>
    <col min="6422" max="6422" width="14.33203125" style="2" customWidth="1"/>
    <col min="6423" max="6423" width="4" style="2" customWidth="1"/>
    <col min="6424" max="6675" width="7.6640625" style="2" customWidth="1"/>
    <col min="6676" max="6676" width="14.33203125" style="2" customWidth="1"/>
    <col min="6677" max="6677" width="4" style="2" customWidth="1"/>
    <col min="6678" max="6678" width="14.33203125" style="2" customWidth="1"/>
    <col min="6679" max="6679" width="4" style="2" customWidth="1"/>
    <col min="6680" max="6931" width="7.6640625" style="2" customWidth="1"/>
    <col min="6932" max="6932" width="14.33203125" style="2" customWidth="1"/>
    <col min="6933" max="6933" width="4" style="2" customWidth="1"/>
    <col min="6934" max="6934" width="14.33203125" style="2" customWidth="1"/>
    <col min="6935" max="6935" width="4" style="2" customWidth="1"/>
    <col min="6936" max="7187" width="7.6640625" style="2" customWidth="1"/>
    <col min="7188" max="7188" width="14.33203125" style="2" customWidth="1"/>
    <col min="7189" max="7189" width="4" style="2" customWidth="1"/>
    <col min="7190" max="7190" width="14.33203125" style="2" customWidth="1"/>
    <col min="7191" max="7191" width="4" style="2" customWidth="1"/>
    <col min="7192" max="7443" width="7.6640625" style="2" customWidth="1"/>
    <col min="7444" max="7444" width="14.33203125" style="2" customWidth="1"/>
    <col min="7445" max="7445" width="4" style="2" customWidth="1"/>
    <col min="7446" max="7446" width="14.33203125" style="2" customWidth="1"/>
    <col min="7447" max="7447" width="4" style="2" customWidth="1"/>
    <col min="7448" max="7699" width="7.6640625" style="2" customWidth="1"/>
    <col min="7700" max="7700" width="14.33203125" style="2" customWidth="1"/>
    <col min="7701" max="7701" width="4" style="2" customWidth="1"/>
    <col min="7702" max="7702" width="14.33203125" style="2" customWidth="1"/>
    <col min="7703" max="7703" width="4" style="2" customWidth="1"/>
    <col min="7704" max="7955" width="7.6640625" style="2" customWidth="1"/>
    <col min="7956" max="7956" width="14.33203125" style="2" customWidth="1"/>
    <col min="7957" max="7957" width="4" style="2" customWidth="1"/>
    <col min="7958" max="7958" width="14.33203125" style="2" customWidth="1"/>
    <col min="7959" max="7959" width="4" style="2" customWidth="1"/>
    <col min="7960" max="8211" width="7.6640625" style="2" customWidth="1"/>
    <col min="8212" max="8212" width="14.33203125" style="2" customWidth="1"/>
    <col min="8213" max="8213" width="4" style="2" customWidth="1"/>
    <col min="8214" max="8214" width="14.33203125" style="2" customWidth="1"/>
    <col min="8215" max="8215" width="4" style="2" customWidth="1"/>
    <col min="8216" max="8467" width="7.6640625" style="2" customWidth="1"/>
    <col min="8468" max="8468" width="14.33203125" style="2" customWidth="1"/>
    <col min="8469" max="8469" width="4" style="2" customWidth="1"/>
    <col min="8470" max="8470" width="14.33203125" style="2" customWidth="1"/>
    <col min="8471" max="8471" width="4" style="2" customWidth="1"/>
    <col min="8472" max="8723" width="7.6640625" style="2" customWidth="1"/>
    <col min="8724" max="8724" width="14.33203125" style="2" customWidth="1"/>
    <col min="8725" max="8725" width="4" style="2" customWidth="1"/>
    <col min="8726" max="8726" width="14.33203125" style="2" customWidth="1"/>
    <col min="8727" max="8727" width="4" style="2" customWidth="1"/>
    <col min="8728" max="8979" width="7.6640625" style="2" customWidth="1"/>
    <col min="8980" max="8980" width="14.33203125" style="2" customWidth="1"/>
    <col min="8981" max="8981" width="4" style="2" customWidth="1"/>
    <col min="8982" max="8982" width="14.33203125" style="2" customWidth="1"/>
    <col min="8983" max="8983" width="4" style="2" customWidth="1"/>
    <col min="8984" max="9235" width="7.6640625" style="2" customWidth="1"/>
    <col min="9236" max="9236" width="14.33203125" style="2" customWidth="1"/>
    <col min="9237" max="9237" width="4" style="2" customWidth="1"/>
    <col min="9238" max="9238" width="14.33203125" style="2" customWidth="1"/>
    <col min="9239" max="9239" width="4" style="2" customWidth="1"/>
    <col min="9240" max="9491" width="7.6640625" style="2" customWidth="1"/>
    <col min="9492" max="9492" width="14.33203125" style="2" customWidth="1"/>
    <col min="9493" max="9493" width="4" style="2" customWidth="1"/>
    <col min="9494" max="9494" width="14.33203125" style="2" customWidth="1"/>
    <col min="9495" max="9495" width="4" style="2" customWidth="1"/>
    <col min="9496" max="9747" width="7.6640625" style="2" customWidth="1"/>
    <col min="9748" max="9748" width="14.33203125" style="2" customWidth="1"/>
    <col min="9749" max="9749" width="4" style="2" customWidth="1"/>
    <col min="9750" max="9750" width="14.33203125" style="2" customWidth="1"/>
    <col min="9751" max="9751" width="4" style="2" customWidth="1"/>
    <col min="9752" max="10003" width="7.6640625" style="2" customWidth="1"/>
    <col min="10004" max="10004" width="14.33203125" style="2" customWidth="1"/>
    <col min="10005" max="10005" width="4" style="2" customWidth="1"/>
    <col min="10006" max="10006" width="14.33203125" style="2" customWidth="1"/>
    <col min="10007" max="10007" width="4" style="2" customWidth="1"/>
    <col min="10008" max="10259" width="7.6640625" style="2" customWidth="1"/>
    <col min="10260" max="10260" width="14.33203125" style="2" customWidth="1"/>
    <col min="10261" max="10261" width="4" style="2" customWidth="1"/>
    <col min="10262" max="10262" width="14.33203125" style="2" customWidth="1"/>
    <col min="10263" max="10263" width="4" style="2" customWidth="1"/>
    <col min="10264" max="10515" width="7.6640625" style="2" customWidth="1"/>
    <col min="10516" max="10516" width="14.33203125" style="2" customWidth="1"/>
    <col min="10517" max="10517" width="4" style="2" customWidth="1"/>
    <col min="10518" max="10518" width="14.33203125" style="2" customWidth="1"/>
    <col min="10519" max="10519" width="4" style="2" customWidth="1"/>
    <col min="10520" max="10771" width="7.6640625" style="2" customWidth="1"/>
    <col min="10772" max="10772" width="14.33203125" style="2" customWidth="1"/>
    <col min="10773" max="10773" width="4" style="2" customWidth="1"/>
    <col min="10774" max="10774" width="14.33203125" style="2" customWidth="1"/>
    <col min="10775" max="10775" width="4" style="2" customWidth="1"/>
    <col min="10776" max="11027" width="7.6640625" style="2" customWidth="1"/>
    <col min="11028" max="11028" width="14.33203125" style="2" customWidth="1"/>
    <col min="11029" max="11029" width="4" style="2" customWidth="1"/>
    <col min="11030" max="11030" width="14.33203125" style="2" customWidth="1"/>
    <col min="11031" max="11031" width="4" style="2" customWidth="1"/>
    <col min="11032" max="11283" width="7.6640625" style="2" customWidth="1"/>
    <col min="11284" max="11284" width="14.33203125" style="2" customWidth="1"/>
    <col min="11285" max="11285" width="4" style="2" customWidth="1"/>
    <col min="11286" max="11286" width="14.33203125" style="2" customWidth="1"/>
    <col min="11287" max="11287" width="4" style="2" customWidth="1"/>
    <col min="11288" max="11539" width="7.6640625" style="2" customWidth="1"/>
    <col min="11540" max="11540" width="14.33203125" style="2" customWidth="1"/>
    <col min="11541" max="11541" width="4" style="2" customWidth="1"/>
    <col min="11542" max="11542" width="14.33203125" style="2" customWidth="1"/>
    <col min="11543" max="11543" width="4" style="2" customWidth="1"/>
    <col min="11544" max="11795" width="7.6640625" style="2" customWidth="1"/>
    <col min="11796" max="11796" width="14.33203125" style="2" customWidth="1"/>
    <col min="11797" max="11797" width="4" style="2" customWidth="1"/>
    <col min="11798" max="11798" width="14.33203125" style="2" customWidth="1"/>
    <col min="11799" max="11799" width="4" style="2" customWidth="1"/>
    <col min="11800" max="12051" width="7.6640625" style="2" customWidth="1"/>
    <col min="12052" max="12052" width="14.33203125" style="2" customWidth="1"/>
    <col min="12053" max="12053" width="4" style="2" customWidth="1"/>
    <col min="12054" max="12054" width="14.33203125" style="2" customWidth="1"/>
    <col min="12055" max="12055" width="4" style="2" customWidth="1"/>
    <col min="12056" max="12307" width="7.6640625" style="2" customWidth="1"/>
    <col min="12308" max="12308" width="14.33203125" style="2" customWidth="1"/>
    <col min="12309" max="12309" width="4" style="2" customWidth="1"/>
    <col min="12310" max="12310" width="14.33203125" style="2" customWidth="1"/>
    <col min="12311" max="12311" width="4" style="2" customWidth="1"/>
    <col min="12312" max="12563" width="7.6640625" style="2" customWidth="1"/>
    <col min="12564" max="12564" width="14.33203125" style="2" customWidth="1"/>
    <col min="12565" max="12565" width="4" style="2" customWidth="1"/>
    <col min="12566" max="12566" width="14.33203125" style="2" customWidth="1"/>
    <col min="12567" max="12567" width="4" style="2" customWidth="1"/>
    <col min="12568" max="12819" width="7.6640625" style="2" customWidth="1"/>
    <col min="12820" max="12820" width="14.33203125" style="2" customWidth="1"/>
    <col min="12821" max="12821" width="4" style="2" customWidth="1"/>
    <col min="12822" max="12822" width="14.33203125" style="2" customWidth="1"/>
    <col min="12823" max="12823" width="4" style="2" customWidth="1"/>
    <col min="12824" max="13075" width="7.6640625" style="2" customWidth="1"/>
    <col min="13076" max="13076" width="14.33203125" style="2" customWidth="1"/>
    <col min="13077" max="13077" width="4" style="2" customWidth="1"/>
    <col min="13078" max="13078" width="14.33203125" style="2" customWidth="1"/>
    <col min="13079" max="13079" width="4" style="2" customWidth="1"/>
    <col min="13080" max="13331" width="7.6640625" style="2" customWidth="1"/>
    <col min="13332" max="13332" width="14.33203125" style="2" customWidth="1"/>
    <col min="13333" max="13333" width="4" style="2" customWidth="1"/>
    <col min="13334" max="13334" width="14.33203125" style="2" customWidth="1"/>
    <col min="13335" max="13335" width="4" style="2" customWidth="1"/>
    <col min="13336" max="13587" width="7.6640625" style="2" customWidth="1"/>
    <col min="13588" max="13588" width="14.33203125" style="2" customWidth="1"/>
    <col min="13589" max="13589" width="4" style="2" customWidth="1"/>
    <col min="13590" max="13590" width="14.33203125" style="2" customWidth="1"/>
    <col min="13591" max="13591" width="4" style="2" customWidth="1"/>
    <col min="13592" max="13843" width="7.6640625" style="2" customWidth="1"/>
    <col min="13844" max="13844" width="14.33203125" style="2" customWidth="1"/>
    <col min="13845" max="13845" width="4" style="2" customWidth="1"/>
    <col min="13846" max="13846" width="14.33203125" style="2" customWidth="1"/>
    <col min="13847" max="13847" width="4" style="2" customWidth="1"/>
    <col min="13848" max="14099" width="7.6640625" style="2" customWidth="1"/>
    <col min="14100" max="14100" width="14.33203125" style="2" customWidth="1"/>
    <col min="14101" max="14101" width="4" style="2" customWidth="1"/>
    <col min="14102" max="14102" width="14.33203125" style="2" customWidth="1"/>
    <col min="14103" max="14103" width="4" style="2" customWidth="1"/>
    <col min="14104" max="14355" width="7.6640625" style="2" customWidth="1"/>
    <col min="14356" max="14356" width="14.33203125" style="2" customWidth="1"/>
    <col min="14357" max="14357" width="4" style="2" customWidth="1"/>
    <col min="14358" max="14358" width="14.33203125" style="2" customWidth="1"/>
    <col min="14359" max="14359" width="4" style="2" customWidth="1"/>
    <col min="14360" max="14611" width="7.6640625" style="2" customWidth="1"/>
    <col min="14612" max="14612" width="14.33203125" style="2" customWidth="1"/>
    <col min="14613" max="14613" width="4" style="2" customWidth="1"/>
    <col min="14614" max="14614" width="14.33203125" style="2" customWidth="1"/>
    <col min="14615" max="14615" width="4" style="2" customWidth="1"/>
    <col min="14616" max="14867" width="7.6640625" style="2" customWidth="1"/>
    <col min="14868" max="14868" width="14.33203125" style="2" customWidth="1"/>
    <col min="14869" max="14869" width="4" style="2" customWidth="1"/>
    <col min="14870" max="14870" width="14.33203125" style="2" customWidth="1"/>
    <col min="14871" max="14871" width="4" style="2" customWidth="1"/>
    <col min="14872" max="15123" width="7.6640625" style="2" customWidth="1"/>
    <col min="15124" max="15124" width="14.33203125" style="2" customWidth="1"/>
    <col min="15125" max="15125" width="4" style="2" customWidth="1"/>
    <col min="15126" max="15126" width="14.33203125" style="2" customWidth="1"/>
    <col min="15127" max="15127" width="4" style="2" customWidth="1"/>
    <col min="15128" max="15379" width="7.6640625" style="2" customWidth="1"/>
    <col min="15380" max="15380" width="14.33203125" style="2" customWidth="1"/>
    <col min="15381" max="15381" width="4" style="2" customWidth="1"/>
    <col min="15382" max="15382" width="14.33203125" style="2" customWidth="1"/>
    <col min="15383" max="15383" width="4" style="2" customWidth="1"/>
    <col min="15384" max="15635" width="7.6640625" style="2" customWidth="1"/>
    <col min="15636" max="15636" width="14.33203125" style="2" customWidth="1"/>
    <col min="15637" max="15637" width="4" style="2" customWidth="1"/>
    <col min="15638" max="15638" width="14.33203125" style="2" customWidth="1"/>
    <col min="15639" max="15639" width="4" style="2" customWidth="1"/>
    <col min="15640" max="15891" width="7.6640625" style="2" customWidth="1"/>
    <col min="15892" max="15892" width="14.33203125" style="2" customWidth="1"/>
    <col min="15893" max="15893" width="4" style="2" customWidth="1"/>
    <col min="15894" max="15894" width="14.33203125" style="2" customWidth="1"/>
    <col min="15895" max="15895" width="4" style="2" customWidth="1"/>
    <col min="15896" max="16147" width="7.6640625" style="2" customWidth="1"/>
    <col min="16148" max="16148" width="14.33203125" style="2" customWidth="1"/>
    <col min="16149" max="16149" width="4" style="2" customWidth="1"/>
    <col min="16150" max="16150" width="14.33203125" style="2" customWidth="1"/>
    <col min="16151" max="16151" width="4" style="2" customWidth="1"/>
    <col min="16152" max="16384" width="7.6640625" style="2" customWidth="1"/>
  </cols>
  <sheetData>
    <row r="1" spans="1:25" ht="15" customHeight="1" x14ac:dyDescent="0.3">
      <c r="A1" s="85"/>
      <c r="B1" s="86"/>
      <c r="C1" s="86"/>
      <c r="D1" s="86"/>
      <c r="E1" s="86"/>
      <c r="F1" s="86"/>
      <c r="G1" s="86"/>
      <c r="H1" s="86"/>
      <c r="I1" s="86"/>
      <c r="J1" s="86"/>
      <c r="K1" s="86"/>
      <c r="L1" s="86"/>
      <c r="M1" s="86"/>
      <c r="N1" s="86"/>
      <c r="O1" s="86"/>
      <c r="P1" s="86"/>
      <c r="Q1" s="86"/>
      <c r="R1" s="86"/>
      <c r="S1" s="86"/>
      <c r="T1" s="86"/>
      <c r="U1" s="86"/>
      <c r="V1" s="86"/>
      <c r="W1" s="86"/>
      <c r="X1" s="86"/>
      <c r="Y1" s="86"/>
    </row>
    <row r="2" spans="1:25" ht="15" customHeight="1" x14ac:dyDescent="0.3">
      <c r="A2" s="28"/>
      <c r="B2" s="586" t="s">
        <v>6</v>
      </c>
      <c r="C2" s="29"/>
      <c r="D2" s="29"/>
      <c r="E2" s="29"/>
      <c r="F2" s="28"/>
      <c r="G2" s="28"/>
      <c r="H2" s="28"/>
      <c r="I2" s="28"/>
      <c r="J2" s="28"/>
      <c r="K2" s="79"/>
      <c r="L2" s="79"/>
      <c r="M2" s="79"/>
      <c r="N2" s="79"/>
      <c r="O2" s="79"/>
      <c r="P2" s="79"/>
      <c r="Q2" s="79"/>
      <c r="R2" s="79"/>
      <c r="S2" s="79"/>
      <c r="T2" s="79"/>
      <c r="U2" s="79"/>
      <c r="V2" s="79"/>
      <c r="W2" s="28"/>
      <c r="X2" s="28"/>
      <c r="Y2" s="28"/>
    </row>
    <row r="3" spans="1:25" ht="15" customHeight="1" x14ac:dyDescent="0.3">
      <c r="A3" s="28"/>
      <c r="B3" s="614" t="s">
        <v>49</v>
      </c>
      <c r="C3" s="28"/>
      <c r="D3" s="28"/>
      <c r="E3" s="28"/>
      <c r="F3" s="28"/>
      <c r="G3" s="28"/>
      <c r="H3" s="28"/>
      <c r="I3" s="28"/>
      <c r="J3" s="28"/>
      <c r="K3" s="79"/>
      <c r="L3" s="79"/>
      <c r="M3" s="79"/>
      <c r="N3" s="79"/>
      <c r="O3" s="79"/>
      <c r="P3" s="79"/>
      <c r="Q3" s="79"/>
      <c r="R3" s="79"/>
      <c r="S3" s="79"/>
      <c r="T3" s="79"/>
      <c r="U3" s="79"/>
      <c r="V3" s="79"/>
      <c r="W3" s="28"/>
      <c r="X3" s="28"/>
      <c r="Y3" s="28"/>
    </row>
    <row r="4" spans="1:25" ht="15" customHeight="1" x14ac:dyDescent="0.3">
      <c r="A4" s="28"/>
      <c r="B4" s="31"/>
      <c r="C4" s="28"/>
      <c r="D4" s="28"/>
      <c r="E4" s="28"/>
      <c r="F4" s="28"/>
      <c r="G4" s="28"/>
      <c r="H4" s="28"/>
      <c r="I4" s="28"/>
      <c r="J4" s="28"/>
      <c r="K4" s="79"/>
      <c r="L4" s="79"/>
      <c r="M4" s="79"/>
      <c r="N4" s="79"/>
      <c r="O4" s="79"/>
      <c r="P4" s="79"/>
      <c r="Q4" s="79"/>
      <c r="R4" s="79"/>
      <c r="S4" s="79"/>
      <c r="T4" s="79"/>
      <c r="U4" s="79"/>
      <c r="V4" s="79"/>
      <c r="W4" s="28"/>
      <c r="X4" s="902" t="s">
        <v>466</v>
      </c>
      <c r="Y4" s="902"/>
    </row>
    <row r="5" spans="1:25" ht="15" customHeight="1" x14ac:dyDescent="0.3">
      <c r="A5" s="79"/>
      <c r="B5" s="31"/>
      <c r="C5" s="903" t="s">
        <v>384</v>
      </c>
      <c r="D5" s="903"/>
      <c r="E5" s="903"/>
      <c r="F5" s="903"/>
      <c r="G5" s="903"/>
      <c r="H5" s="903"/>
      <c r="I5" s="903"/>
      <c r="J5" s="903"/>
      <c r="K5" s="903"/>
      <c r="L5" s="903"/>
      <c r="M5" s="903"/>
      <c r="N5" s="903"/>
      <c r="O5" s="903"/>
      <c r="P5" s="903"/>
      <c r="Q5" s="903"/>
      <c r="R5" s="903"/>
      <c r="S5" s="903"/>
      <c r="T5" s="903"/>
      <c r="U5" s="903"/>
      <c r="V5" s="903"/>
      <c r="W5" s="903"/>
      <c r="X5" s="904">
        <v>1</v>
      </c>
      <c r="Y5" s="904"/>
    </row>
    <row r="6" spans="1:25" ht="15" customHeight="1" x14ac:dyDescent="0.3">
      <c r="A6" s="79"/>
      <c r="B6" s="31"/>
      <c r="C6" s="903" t="s">
        <v>138</v>
      </c>
      <c r="D6" s="903"/>
      <c r="E6" s="903"/>
      <c r="F6" s="903"/>
      <c r="G6" s="903"/>
      <c r="H6" s="903"/>
      <c r="I6" s="903"/>
      <c r="J6" s="903"/>
      <c r="K6" s="903"/>
      <c r="L6" s="903"/>
      <c r="M6" s="903"/>
      <c r="N6" s="903"/>
      <c r="O6" s="903"/>
      <c r="P6" s="903"/>
      <c r="Q6" s="903"/>
      <c r="R6" s="903"/>
      <c r="S6" s="903"/>
      <c r="T6" s="903"/>
      <c r="U6" s="903"/>
      <c r="V6" s="903"/>
      <c r="W6" s="903"/>
      <c r="X6" s="904">
        <v>2</v>
      </c>
      <c r="Y6" s="904"/>
    </row>
    <row r="7" spans="1:25" ht="15" customHeight="1" x14ac:dyDescent="0.3">
      <c r="A7" s="28"/>
      <c r="B7" s="28"/>
      <c r="C7" s="903" t="s">
        <v>27</v>
      </c>
      <c r="D7" s="903"/>
      <c r="E7" s="903"/>
      <c r="F7" s="903"/>
      <c r="G7" s="903"/>
      <c r="H7" s="903"/>
      <c r="I7" s="903"/>
      <c r="J7" s="903"/>
      <c r="K7" s="903"/>
      <c r="L7" s="903"/>
      <c r="M7" s="903"/>
      <c r="N7" s="903"/>
      <c r="O7" s="903"/>
      <c r="P7" s="903"/>
      <c r="Q7" s="903"/>
      <c r="R7" s="903"/>
      <c r="S7" s="903"/>
      <c r="T7" s="903"/>
      <c r="U7" s="903"/>
      <c r="V7" s="903"/>
      <c r="W7" s="903"/>
      <c r="X7" s="905">
        <v>3</v>
      </c>
      <c r="Y7" s="905"/>
    </row>
    <row r="8" spans="1:25" ht="15" customHeight="1" x14ac:dyDescent="0.3">
      <c r="A8" s="28"/>
      <c r="B8" s="28"/>
      <c r="C8" s="903" t="s">
        <v>3</v>
      </c>
      <c r="D8" s="903"/>
      <c r="E8" s="903"/>
      <c r="F8" s="903"/>
      <c r="G8" s="903"/>
      <c r="H8" s="903"/>
      <c r="I8" s="903"/>
      <c r="J8" s="903"/>
      <c r="K8" s="903"/>
      <c r="L8" s="903"/>
      <c r="M8" s="903"/>
      <c r="N8" s="903"/>
      <c r="O8" s="903"/>
      <c r="P8" s="903"/>
      <c r="Q8" s="903"/>
      <c r="R8" s="903"/>
      <c r="S8" s="903"/>
      <c r="T8" s="903"/>
      <c r="U8" s="903"/>
      <c r="V8" s="903"/>
      <c r="W8" s="903"/>
      <c r="X8" s="904">
        <v>4</v>
      </c>
      <c r="Y8" s="904"/>
    </row>
    <row r="9" spans="1:25" ht="15" customHeight="1" x14ac:dyDescent="0.3">
      <c r="A9" s="79"/>
      <c r="B9" s="79"/>
      <c r="C9" s="903" t="s">
        <v>469</v>
      </c>
      <c r="D9" s="903"/>
      <c r="E9" s="903"/>
      <c r="F9" s="903"/>
      <c r="G9" s="903"/>
      <c r="H9" s="903"/>
      <c r="I9" s="903"/>
      <c r="J9" s="903"/>
      <c r="K9" s="903"/>
      <c r="L9" s="903"/>
      <c r="M9" s="903"/>
      <c r="N9" s="903"/>
      <c r="O9" s="903"/>
      <c r="P9" s="903"/>
      <c r="Q9" s="903"/>
      <c r="R9" s="903"/>
      <c r="S9" s="903"/>
      <c r="T9" s="903"/>
      <c r="U9" s="903"/>
      <c r="V9" s="903"/>
      <c r="W9" s="903"/>
      <c r="X9" s="904">
        <v>5</v>
      </c>
      <c r="Y9" s="904"/>
    </row>
    <row r="10" spans="1:25" ht="15" customHeight="1" x14ac:dyDescent="0.3">
      <c r="A10" s="79"/>
      <c r="B10" s="79"/>
      <c r="C10" s="903" t="s">
        <v>175</v>
      </c>
      <c r="D10" s="903"/>
      <c r="E10" s="903"/>
      <c r="F10" s="903"/>
      <c r="G10" s="903"/>
      <c r="H10" s="903"/>
      <c r="I10" s="903"/>
      <c r="J10" s="903"/>
      <c r="K10" s="903"/>
      <c r="L10" s="903"/>
      <c r="M10" s="903"/>
      <c r="N10" s="903"/>
      <c r="O10" s="903"/>
      <c r="P10" s="903"/>
      <c r="Q10" s="903"/>
      <c r="R10" s="903"/>
      <c r="S10" s="903"/>
      <c r="T10" s="903"/>
      <c r="U10" s="903"/>
      <c r="V10" s="903"/>
      <c r="W10" s="903"/>
      <c r="X10" s="905">
        <v>6</v>
      </c>
      <c r="Y10" s="905"/>
    </row>
    <row r="11" spans="1:25" ht="15" customHeight="1" x14ac:dyDescent="0.3">
      <c r="A11" s="28"/>
      <c r="B11" s="28"/>
      <c r="C11" s="906" t="s">
        <v>178</v>
      </c>
      <c r="D11" s="906"/>
      <c r="E11" s="906"/>
      <c r="F11" s="906"/>
      <c r="G11" s="906"/>
      <c r="H11" s="906"/>
      <c r="I11" s="906"/>
      <c r="J11" s="906"/>
      <c r="K11" s="906"/>
      <c r="L11" s="906"/>
      <c r="M11" s="906"/>
      <c r="N11" s="906"/>
      <c r="O11" s="906"/>
      <c r="P11" s="906"/>
      <c r="Q11" s="906"/>
      <c r="R11" s="906"/>
      <c r="S11" s="906"/>
      <c r="T11" s="906"/>
      <c r="U11" s="906"/>
      <c r="V11" s="906"/>
      <c r="W11" s="906"/>
      <c r="X11" s="904">
        <v>7</v>
      </c>
      <c r="Y11" s="904"/>
    </row>
    <row r="12" spans="1:25" ht="15" customHeight="1" x14ac:dyDescent="0.3">
      <c r="A12" s="28"/>
      <c r="B12" s="28"/>
      <c r="C12" s="906" t="s">
        <v>7</v>
      </c>
      <c r="D12" s="906"/>
      <c r="E12" s="906"/>
      <c r="F12" s="906"/>
      <c r="G12" s="906"/>
      <c r="H12" s="906"/>
      <c r="I12" s="906"/>
      <c r="J12" s="906"/>
      <c r="K12" s="906"/>
      <c r="L12" s="906"/>
      <c r="M12" s="906"/>
      <c r="N12" s="906"/>
      <c r="O12" s="906"/>
      <c r="P12" s="906"/>
      <c r="Q12" s="906"/>
      <c r="R12" s="906"/>
      <c r="S12" s="906"/>
      <c r="T12" s="906"/>
      <c r="U12" s="906"/>
      <c r="V12" s="906"/>
      <c r="W12" s="906"/>
      <c r="X12" s="904">
        <v>8</v>
      </c>
      <c r="Y12" s="904"/>
    </row>
    <row r="13" spans="1:25" ht="15" customHeight="1" x14ac:dyDescent="0.3">
      <c r="A13" s="28"/>
      <c r="B13" s="28"/>
      <c r="C13" s="903" t="s">
        <v>8</v>
      </c>
      <c r="D13" s="903"/>
      <c r="E13" s="903"/>
      <c r="F13" s="903"/>
      <c r="G13" s="903"/>
      <c r="H13" s="903"/>
      <c r="I13" s="903"/>
      <c r="J13" s="903"/>
      <c r="K13" s="903"/>
      <c r="L13" s="903"/>
      <c r="M13" s="903"/>
      <c r="N13" s="903"/>
      <c r="O13" s="903"/>
      <c r="P13" s="903"/>
      <c r="Q13" s="903"/>
      <c r="R13" s="903"/>
      <c r="S13" s="903"/>
      <c r="T13" s="903"/>
      <c r="U13" s="903"/>
      <c r="V13" s="903"/>
      <c r="W13" s="903"/>
      <c r="X13" s="905">
        <v>9</v>
      </c>
      <c r="Y13" s="905"/>
    </row>
    <row r="14" spans="1:25" ht="15" customHeight="1" x14ac:dyDescent="0.3">
      <c r="A14" s="28"/>
      <c r="B14" s="28"/>
      <c r="C14" s="865" t="s">
        <v>455</v>
      </c>
      <c r="D14" s="865"/>
      <c r="E14" s="865"/>
      <c r="F14" s="865"/>
      <c r="G14" s="865"/>
      <c r="H14" s="865"/>
      <c r="I14" s="865"/>
      <c r="J14" s="865"/>
      <c r="K14" s="865"/>
      <c r="L14" s="865"/>
      <c r="M14" s="865"/>
      <c r="N14" s="865"/>
      <c r="O14" s="865"/>
      <c r="P14" s="865"/>
      <c r="Q14" s="865"/>
      <c r="R14" s="865"/>
      <c r="S14" s="865"/>
      <c r="T14" s="865"/>
      <c r="U14" s="865"/>
      <c r="V14" s="865"/>
      <c r="W14" s="865"/>
      <c r="X14" s="904">
        <v>10</v>
      </c>
      <c r="Y14" s="904"/>
    </row>
    <row r="15" spans="1:25" ht="15" customHeight="1" x14ac:dyDescent="0.3">
      <c r="A15" s="28"/>
      <c r="B15" s="28"/>
      <c r="C15" s="903" t="s">
        <v>459</v>
      </c>
      <c r="D15" s="903"/>
      <c r="E15" s="903"/>
      <c r="F15" s="903"/>
      <c r="G15" s="903"/>
      <c r="H15" s="903"/>
      <c r="I15" s="903"/>
      <c r="J15" s="903"/>
      <c r="K15" s="903"/>
      <c r="L15" s="903"/>
      <c r="M15" s="903"/>
      <c r="N15" s="903"/>
      <c r="O15" s="903"/>
      <c r="P15" s="903"/>
      <c r="Q15" s="903"/>
      <c r="R15" s="903"/>
      <c r="S15" s="903"/>
      <c r="T15" s="903"/>
      <c r="U15" s="903"/>
      <c r="V15" s="903"/>
      <c r="W15" s="903"/>
      <c r="X15" s="904">
        <v>11</v>
      </c>
      <c r="Y15" s="904"/>
    </row>
    <row r="16" spans="1:25" ht="15" customHeight="1" x14ac:dyDescent="0.3">
      <c r="A16" s="79"/>
      <c r="B16" s="79"/>
      <c r="C16" s="903" t="s">
        <v>460</v>
      </c>
      <c r="D16" s="903"/>
      <c r="E16" s="903"/>
      <c r="F16" s="903"/>
      <c r="G16" s="903"/>
      <c r="H16" s="903"/>
      <c r="I16" s="903"/>
      <c r="J16" s="903"/>
      <c r="K16" s="903"/>
      <c r="L16" s="903"/>
      <c r="M16" s="903"/>
      <c r="N16" s="903"/>
      <c r="O16" s="903"/>
      <c r="P16" s="903"/>
      <c r="Q16" s="903"/>
      <c r="R16" s="903"/>
      <c r="S16" s="903"/>
      <c r="T16" s="903"/>
      <c r="U16" s="903"/>
      <c r="V16" s="903"/>
      <c r="W16" s="903"/>
      <c r="X16" s="905">
        <v>12</v>
      </c>
      <c r="Y16" s="905"/>
    </row>
    <row r="17" spans="1:25" ht="15" customHeight="1" x14ac:dyDescent="0.3">
      <c r="A17" s="28"/>
      <c r="B17" s="28"/>
      <c r="C17" s="903" t="s">
        <v>461</v>
      </c>
      <c r="D17" s="903"/>
      <c r="E17" s="903"/>
      <c r="F17" s="903"/>
      <c r="G17" s="903"/>
      <c r="H17" s="903"/>
      <c r="I17" s="903"/>
      <c r="J17" s="903"/>
      <c r="K17" s="903"/>
      <c r="L17" s="903"/>
      <c r="M17" s="903"/>
      <c r="N17" s="903"/>
      <c r="O17" s="903"/>
      <c r="P17" s="903"/>
      <c r="Q17" s="903"/>
      <c r="R17" s="903"/>
      <c r="S17" s="903"/>
      <c r="T17" s="903"/>
      <c r="U17" s="903"/>
      <c r="V17" s="903"/>
      <c r="W17" s="903"/>
      <c r="X17" s="904">
        <v>13</v>
      </c>
      <c r="Y17" s="904"/>
    </row>
    <row r="18" spans="1:25" ht="15" customHeight="1" x14ac:dyDescent="0.3">
      <c r="A18" s="28"/>
      <c r="B18" s="28"/>
      <c r="C18" s="906" t="s">
        <v>9</v>
      </c>
      <c r="D18" s="906"/>
      <c r="E18" s="906"/>
      <c r="F18" s="906"/>
      <c r="G18" s="906"/>
      <c r="H18" s="906"/>
      <c r="I18" s="906"/>
      <c r="J18" s="906"/>
      <c r="K18" s="906"/>
      <c r="L18" s="906"/>
      <c r="M18" s="906"/>
      <c r="N18" s="906"/>
      <c r="O18" s="906"/>
      <c r="P18" s="906"/>
      <c r="Q18" s="906"/>
      <c r="R18" s="906"/>
      <c r="S18" s="906"/>
      <c r="T18" s="906"/>
      <c r="U18" s="906"/>
      <c r="V18" s="906"/>
      <c r="W18" s="906"/>
      <c r="X18" s="904">
        <v>14</v>
      </c>
      <c r="Y18" s="904"/>
    </row>
    <row r="19" spans="1:25" ht="15" customHeight="1" x14ac:dyDescent="0.3">
      <c r="A19" s="28"/>
      <c r="B19" s="28"/>
      <c r="C19" s="906" t="s">
        <v>140</v>
      </c>
      <c r="D19" s="906"/>
      <c r="E19" s="906"/>
      <c r="F19" s="906"/>
      <c r="G19" s="906"/>
      <c r="H19" s="906"/>
      <c r="I19" s="906"/>
      <c r="J19" s="906"/>
      <c r="K19" s="906"/>
      <c r="L19" s="906"/>
      <c r="M19" s="906"/>
      <c r="N19" s="906"/>
      <c r="O19" s="906"/>
      <c r="P19" s="906"/>
      <c r="Q19" s="906"/>
      <c r="R19" s="906"/>
      <c r="S19" s="906"/>
      <c r="T19" s="906"/>
      <c r="U19" s="906"/>
      <c r="V19" s="906"/>
      <c r="W19" s="906"/>
      <c r="X19" s="905">
        <v>15</v>
      </c>
      <c r="Y19" s="905"/>
    </row>
    <row r="20" spans="1:25" ht="15" customHeight="1" x14ac:dyDescent="0.3">
      <c r="A20" s="79"/>
      <c r="B20" s="79"/>
      <c r="C20" s="906" t="s">
        <v>464</v>
      </c>
      <c r="D20" s="906"/>
      <c r="E20" s="906"/>
      <c r="F20" s="906"/>
      <c r="G20" s="906"/>
      <c r="H20" s="906"/>
      <c r="I20" s="906"/>
      <c r="J20" s="906"/>
      <c r="K20" s="906"/>
      <c r="L20" s="906"/>
      <c r="M20" s="906"/>
      <c r="N20" s="906"/>
      <c r="O20" s="906"/>
      <c r="P20" s="906"/>
      <c r="Q20" s="906"/>
      <c r="R20" s="906"/>
      <c r="S20" s="906"/>
      <c r="T20" s="906"/>
      <c r="U20" s="906"/>
      <c r="V20" s="906"/>
      <c r="W20" s="906"/>
      <c r="X20" s="904">
        <v>16</v>
      </c>
      <c r="Y20" s="904"/>
    </row>
    <row r="21" spans="1:25" ht="15" customHeight="1" x14ac:dyDescent="0.3">
      <c r="A21" s="79"/>
      <c r="B21" s="79"/>
      <c r="C21" s="906" t="s">
        <v>465</v>
      </c>
      <c r="D21" s="906"/>
      <c r="E21" s="906"/>
      <c r="F21" s="906"/>
      <c r="G21" s="906"/>
      <c r="H21" s="906"/>
      <c r="I21" s="906"/>
      <c r="J21" s="906"/>
      <c r="K21" s="906"/>
      <c r="L21" s="906"/>
      <c r="M21" s="906"/>
      <c r="N21" s="906"/>
      <c r="O21" s="906"/>
      <c r="P21" s="906"/>
      <c r="Q21" s="906"/>
      <c r="R21" s="906"/>
      <c r="S21" s="906"/>
      <c r="T21" s="906"/>
      <c r="U21" s="906"/>
      <c r="V21" s="906"/>
      <c r="W21" s="906"/>
      <c r="X21" s="904">
        <v>17</v>
      </c>
      <c r="Y21" s="904"/>
    </row>
    <row r="22" spans="1:25" ht="15" customHeight="1" x14ac:dyDescent="0.3">
      <c r="A22" s="28"/>
      <c r="B22" s="28"/>
      <c r="C22" s="906" t="s">
        <v>84</v>
      </c>
      <c r="D22" s="906"/>
      <c r="E22" s="906"/>
      <c r="F22" s="906"/>
      <c r="G22" s="906"/>
      <c r="H22" s="906"/>
      <c r="I22" s="906"/>
      <c r="J22" s="906"/>
      <c r="K22" s="906"/>
      <c r="L22" s="906"/>
      <c r="M22" s="906"/>
      <c r="N22" s="906"/>
      <c r="O22" s="906"/>
      <c r="P22" s="906"/>
      <c r="Q22" s="906"/>
      <c r="R22" s="906"/>
      <c r="S22" s="906"/>
      <c r="T22" s="906"/>
      <c r="U22" s="906"/>
      <c r="V22" s="906"/>
      <c r="W22" s="906"/>
      <c r="X22" s="905">
        <v>18</v>
      </c>
      <c r="Y22" s="905"/>
    </row>
    <row r="23" spans="1:25" ht="15" customHeight="1" x14ac:dyDescent="0.3">
      <c r="A23" s="79"/>
      <c r="B23" s="79"/>
      <c r="C23" s="906" t="s">
        <v>462</v>
      </c>
      <c r="D23" s="906"/>
      <c r="E23" s="906"/>
      <c r="F23" s="906"/>
      <c r="G23" s="906"/>
      <c r="H23" s="906"/>
      <c r="I23" s="906"/>
      <c r="J23" s="906"/>
      <c r="K23" s="906"/>
      <c r="L23" s="906"/>
      <c r="M23" s="906"/>
      <c r="N23" s="906"/>
      <c r="O23" s="906"/>
      <c r="P23" s="906"/>
      <c r="Q23" s="906"/>
      <c r="R23" s="906"/>
      <c r="S23" s="906"/>
      <c r="T23" s="906"/>
      <c r="U23" s="906"/>
      <c r="V23" s="906"/>
      <c r="W23" s="906"/>
      <c r="X23" s="904">
        <v>19</v>
      </c>
      <c r="Y23" s="904"/>
    </row>
    <row r="24" spans="1:25" ht="15" customHeight="1" x14ac:dyDescent="0.3">
      <c r="A24" s="79"/>
      <c r="B24" s="79"/>
      <c r="C24" s="906" t="s">
        <v>463</v>
      </c>
      <c r="D24" s="906"/>
      <c r="E24" s="906"/>
      <c r="F24" s="906"/>
      <c r="G24" s="906"/>
      <c r="H24" s="906"/>
      <c r="I24" s="906"/>
      <c r="J24" s="906"/>
      <c r="K24" s="906"/>
      <c r="L24" s="906"/>
      <c r="M24" s="906"/>
      <c r="N24" s="906"/>
      <c r="O24" s="906"/>
      <c r="P24" s="906"/>
      <c r="Q24" s="906"/>
      <c r="R24" s="906"/>
      <c r="S24" s="906"/>
      <c r="T24" s="906"/>
      <c r="U24" s="906"/>
      <c r="V24" s="906"/>
      <c r="W24" s="906"/>
      <c r="X24" s="904">
        <v>20</v>
      </c>
      <c r="Y24" s="904"/>
    </row>
    <row r="25" spans="1:25" ht="15" customHeight="1" x14ac:dyDescent="0.3">
      <c r="A25" s="79"/>
      <c r="B25" s="79"/>
      <c r="C25" s="906" t="s">
        <v>290</v>
      </c>
      <c r="D25" s="906"/>
      <c r="E25" s="906"/>
      <c r="F25" s="906"/>
      <c r="G25" s="906"/>
      <c r="H25" s="906"/>
      <c r="I25" s="906"/>
      <c r="J25" s="906"/>
      <c r="K25" s="906"/>
      <c r="L25" s="906"/>
      <c r="M25" s="906"/>
      <c r="N25" s="906"/>
      <c r="O25" s="906"/>
      <c r="P25" s="906"/>
      <c r="Q25" s="906"/>
      <c r="R25" s="906"/>
      <c r="S25" s="906"/>
      <c r="T25" s="906"/>
      <c r="U25" s="906"/>
      <c r="V25" s="906"/>
      <c r="W25" s="906"/>
      <c r="X25" s="905">
        <v>21</v>
      </c>
      <c r="Y25" s="905"/>
    </row>
    <row r="26" spans="1:25" ht="15" customHeight="1" x14ac:dyDescent="0.3">
      <c r="A26" s="28"/>
      <c r="B26" s="28"/>
      <c r="C26" s="906" t="s">
        <v>450</v>
      </c>
      <c r="D26" s="906"/>
      <c r="E26" s="906"/>
      <c r="F26" s="906"/>
      <c r="G26" s="906"/>
      <c r="H26" s="906"/>
      <c r="I26" s="906"/>
      <c r="J26" s="906"/>
      <c r="K26" s="906"/>
      <c r="L26" s="906"/>
      <c r="M26" s="906"/>
      <c r="N26" s="906"/>
      <c r="O26" s="906"/>
      <c r="P26" s="906"/>
      <c r="Q26" s="906"/>
      <c r="R26" s="906"/>
      <c r="S26" s="906"/>
      <c r="T26" s="906"/>
      <c r="U26" s="906"/>
      <c r="V26" s="906"/>
      <c r="W26" s="906"/>
      <c r="X26" s="904">
        <v>22</v>
      </c>
      <c r="Y26" s="904"/>
    </row>
    <row r="27" spans="1:25" ht="15" customHeight="1" x14ac:dyDescent="0.3">
      <c r="A27" s="79"/>
      <c r="B27" s="79"/>
      <c r="C27" s="903" t="s">
        <v>10</v>
      </c>
      <c r="D27" s="903"/>
      <c r="E27" s="903"/>
      <c r="F27" s="903"/>
      <c r="G27" s="903"/>
      <c r="H27" s="903"/>
      <c r="I27" s="903"/>
      <c r="J27" s="903"/>
      <c r="K27" s="903"/>
      <c r="L27" s="903"/>
      <c r="M27" s="903"/>
      <c r="N27" s="903"/>
      <c r="O27" s="903"/>
      <c r="P27" s="903"/>
      <c r="Q27" s="903"/>
      <c r="R27" s="903"/>
      <c r="S27" s="903"/>
      <c r="T27" s="903"/>
      <c r="U27" s="903"/>
      <c r="V27" s="903"/>
      <c r="W27" s="903"/>
      <c r="X27" s="904">
        <v>23</v>
      </c>
      <c r="Y27" s="904"/>
    </row>
    <row r="28" spans="1:25" ht="15" customHeight="1" x14ac:dyDescent="0.3">
      <c r="A28" s="79"/>
      <c r="B28" s="79"/>
      <c r="C28" s="903" t="s">
        <v>307</v>
      </c>
      <c r="D28" s="903"/>
      <c r="E28" s="903"/>
      <c r="F28" s="903"/>
      <c r="G28" s="903"/>
      <c r="H28" s="903"/>
      <c r="I28" s="903"/>
      <c r="J28" s="903"/>
      <c r="K28" s="903"/>
      <c r="L28" s="903"/>
      <c r="M28" s="903"/>
      <c r="N28" s="903"/>
      <c r="O28" s="903"/>
      <c r="P28" s="903"/>
      <c r="Q28" s="903"/>
      <c r="R28" s="903"/>
      <c r="S28" s="903"/>
      <c r="T28" s="903"/>
      <c r="U28" s="903"/>
      <c r="V28" s="903"/>
      <c r="W28" s="903"/>
      <c r="X28" s="905">
        <v>24</v>
      </c>
      <c r="Y28" s="905"/>
    </row>
    <row r="29" spans="1:25" ht="15" customHeight="1" x14ac:dyDescent="0.3">
      <c r="A29" s="28"/>
      <c r="B29" s="28"/>
      <c r="C29" s="903" t="s">
        <v>453</v>
      </c>
      <c r="D29" s="903"/>
      <c r="E29" s="903"/>
      <c r="F29" s="903"/>
      <c r="G29" s="903"/>
      <c r="H29" s="903"/>
      <c r="I29" s="903"/>
      <c r="J29" s="903"/>
      <c r="K29" s="903"/>
      <c r="L29" s="903"/>
      <c r="M29" s="903"/>
      <c r="N29" s="903"/>
      <c r="O29" s="903"/>
      <c r="P29" s="903"/>
      <c r="Q29" s="903"/>
      <c r="R29" s="903"/>
      <c r="S29" s="903"/>
      <c r="T29" s="903"/>
      <c r="U29" s="903"/>
      <c r="V29" s="903"/>
      <c r="W29" s="903"/>
      <c r="X29" s="904">
        <v>25</v>
      </c>
      <c r="Y29" s="904"/>
    </row>
    <row r="30" spans="1:25" ht="15" customHeight="1" x14ac:dyDescent="0.3">
      <c r="A30" s="79"/>
      <c r="B30" s="868"/>
      <c r="C30" s="903" t="s">
        <v>467</v>
      </c>
      <c r="D30" s="903"/>
      <c r="E30" s="903"/>
      <c r="F30" s="903"/>
      <c r="G30" s="903"/>
      <c r="H30" s="903"/>
      <c r="I30" s="903"/>
      <c r="J30" s="903"/>
      <c r="K30" s="903"/>
      <c r="L30" s="903"/>
      <c r="M30" s="903"/>
      <c r="N30" s="903"/>
      <c r="O30" s="903"/>
      <c r="P30" s="903"/>
      <c r="Q30" s="903"/>
      <c r="R30" s="903"/>
      <c r="S30" s="903"/>
      <c r="T30" s="903"/>
      <c r="U30" s="903"/>
      <c r="V30" s="903"/>
      <c r="W30" s="903"/>
      <c r="X30" s="904">
        <v>26</v>
      </c>
      <c r="Y30" s="904"/>
    </row>
    <row r="31" spans="1:25" ht="15" customHeight="1" x14ac:dyDescent="0.3">
      <c r="A31" s="28"/>
      <c r="B31" s="28"/>
      <c r="C31" s="907"/>
      <c r="D31" s="907"/>
      <c r="E31" s="907"/>
      <c r="F31" s="907"/>
      <c r="G31" s="907"/>
      <c r="H31" s="907"/>
      <c r="I31" s="907"/>
      <c r="J31" s="907"/>
      <c r="K31" s="907"/>
      <c r="L31" s="907"/>
      <c r="M31" s="907"/>
      <c r="N31" s="907"/>
      <c r="O31" s="907"/>
      <c r="P31" s="907"/>
      <c r="Q31" s="907"/>
      <c r="R31" s="907"/>
      <c r="S31" s="907"/>
      <c r="T31" s="907"/>
      <c r="U31" s="907"/>
      <c r="V31" s="907"/>
      <c r="W31" s="907"/>
      <c r="X31" s="902"/>
      <c r="Y31" s="902"/>
    </row>
    <row r="32" spans="1:25" ht="15" customHeight="1" x14ac:dyDescent="0.3">
      <c r="A32" s="15"/>
      <c r="B32" s="908"/>
      <c r="C32" s="908"/>
      <c r="D32" s="908"/>
      <c r="E32" s="908"/>
      <c r="F32" s="908"/>
      <c r="G32" s="908"/>
      <c r="H32" s="908"/>
      <c r="I32" s="908"/>
      <c r="J32" s="908"/>
      <c r="K32" s="908"/>
      <c r="L32" s="908"/>
      <c r="M32" s="908"/>
      <c r="N32" s="908"/>
      <c r="O32" s="908"/>
      <c r="P32" s="908"/>
      <c r="Q32" s="908"/>
      <c r="R32" s="908"/>
      <c r="S32" s="908"/>
      <c r="T32" s="908"/>
      <c r="U32" s="908"/>
      <c r="V32" s="908"/>
      <c r="W32" s="908"/>
      <c r="X32" s="908"/>
      <c r="Y32" s="908"/>
    </row>
  </sheetData>
  <mergeCells count="55">
    <mergeCell ref="X4:Y4"/>
    <mergeCell ref="C11:W11"/>
    <mergeCell ref="C17:W17"/>
    <mergeCell ref="C20:W20"/>
    <mergeCell ref="C21:W21"/>
    <mergeCell ref="X7:Y7"/>
    <mergeCell ref="C7:W7"/>
    <mergeCell ref="C6:W6"/>
    <mergeCell ref="C8:W8"/>
    <mergeCell ref="X10:Y10"/>
    <mergeCell ref="X16:Y16"/>
    <mergeCell ref="C13:W13"/>
    <mergeCell ref="X20:Y20"/>
    <mergeCell ref="X21:Y21"/>
    <mergeCell ref="X8:Y8"/>
    <mergeCell ref="X6:Y6"/>
    <mergeCell ref="X27:Y27"/>
    <mergeCell ref="X26:Y26"/>
    <mergeCell ref="X22:Y22"/>
    <mergeCell ref="X19:Y19"/>
    <mergeCell ref="X18:Y18"/>
    <mergeCell ref="X17:Y17"/>
    <mergeCell ref="X15:Y15"/>
    <mergeCell ref="X14:Y14"/>
    <mergeCell ref="X13:Y13"/>
    <mergeCell ref="X25:Y25"/>
    <mergeCell ref="X23:Y23"/>
    <mergeCell ref="X24:Y24"/>
    <mergeCell ref="C12:W12"/>
    <mergeCell ref="C24:W24"/>
    <mergeCell ref="C16:W16"/>
    <mergeCell ref="C31:W31"/>
    <mergeCell ref="B32:Y32"/>
    <mergeCell ref="C22:W22"/>
    <mergeCell ref="C19:W19"/>
    <mergeCell ref="C18:W18"/>
    <mergeCell ref="C15:W15"/>
    <mergeCell ref="C25:W25"/>
    <mergeCell ref="C23:W23"/>
    <mergeCell ref="X31:Y31"/>
    <mergeCell ref="C5:W5"/>
    <mergeCell ref="X5:Y5"/>
    <mergeCell ref="C9:W9"/>
    <mergeCell ref="X9:Y9"/>
    <mergeCell ref="C10:W10"/>
    <mergeCell ref="X11:Y11"/>
    <mergeCell ref="C30:W30"/>
    <mergeCell ref="X30:Y30"/>
    <mergeCell ref="C29:W29"/>
    <mergeCell ref="X29:Y29"/>
    <mergeCell ref="C27:W27"/>
    <mergeCell ref="C28:W28"/>
    <mergeCell ref="X28:Y28"/>
    <mergeCell ref="X12:Y12"/>
    <mergeCell ref="C26:W26"/>
  </mergeCells>
  <dataValidations disablePrompts="1" count="4">
    <dataValidation allowBlank="1" showInputMessage="1" showErrorMessage="1" prompt="6° 17' 40.1424''" sqref="JR65512 TN65512 ADJ65512 ANF65512 AXB65512 BGX65512 BQT65512 CAP65512 CKL65512 CUH65512 DED65512 DNZ65512 DXV65512 EHR65512 ERN65512 FBJ65512 FLF65512 FVB65512 GEX65512 GOT65512 GYP65512 HIL65512 HSH65512 ICD65512 ILZ65512 IVV65512 JFR65512 JPN65512 JZJ65512 KJF65512 KTB65512 LCX65512 LMT65512 LWP65512 MGL65512 MQH65512 NAD65512 NJZ65512 NTV65512 ODR65512 ONN65512 OXJ65512 PHF65512 PRB65512 QAX65512 QKT65512 QUP65512 REL65512 ROH65512 RYD65512 SHZ65512 SRV65512 TBR65512 TLN65512 TVJ65512 UFF65512 UPB65512 UYX65512 VIT65512 VSP65512 WCL65512 WMH65512 WWD65512 JR131048 TN131048 ADJ131048 ANF131048 AXB131048 BGX131048 BQT131048 CAP131048 CKL131048 CUH131048 DED131048 DNZ131048 DXV131048 EHR131048 ERN131048 FBJ131048 FLF131048 FVB131048 GEX131048 GOT131048 GYP131048 HIL131048 HSH131048 ICD131048 ILZ131048 IVV131048 JFR131048 JPN131048 JZJ131048 KJF131048 KTB131048 LCX131048 LMT131048 LWP131048 MGL131048 MQH131048 NAD131048 NJZ131048 NTV131048 ODR131048 ONN131048 OXJ131048 PHF131048 PRB131048 QAX131048 QKT131048 QUP131048 REL131048 ROH131048 RYD131048 SHZ131048 SRV131048 TBR131048 TLN131048 TVJ131048 UFF131048 UPB131048 UYX131048 VIT131048 VSP131048 WCL131048 WMH131048 WWD131048 JR196584 TN196584 ADJ196584 ANF196584 AXB196584 BGX196584 BQT196584 CAP196584 CKL196584 CUH196584 DED196584 DNZ196584 DXV196584 EHR196584 ERN196584 FBJ196584 FLF196584 FVB196584 GEX196584 GOT196584 GYP196584 HIL196584 HSH196584 ICD196584 ILZ196584 IVV196584 JFR196584 JPN196584 JZJ196584 KJF196584 KTB196584 LCX196584 LMT196584 LWP196584 MGL196584 MQH196584 NAD196584 NJZ196584 NTV196584 ODR196584 ONN196584 OXJ196584 PHF196584 PRB196584 QAX196584 QKT196584 QUP196584 REL196584 ROH196584 RYD196584 SHZ196584 SRV196584 TBR196584 TLN196584 TVJ196584 UFF196584 UPB196584 UYX196584 VIT196584 VSP196584 WCL196584 WMH196584 WWD196584 JR262120 TN262120 ADJ262120 ANF262120 AXB262120 BGX262120 BQT262120 CAP262120 CKL262120 CUH262120 DED262120 DNZ262120 DXV262120 EHR262120 ERN262120 FBJ262120 FLF262120 FVB262120 GEX262120 GOT262120 GYP262120 HIL262120 HSH262120 ICD262120 ILZ262120 IVV262120 JFR262120 JPN262120 JZJ262120 KJF262120 KTB262120 LCX262120 LMT262120 LWP262120 MGL262120 MQH262120 NAD262120 NJZ262120 NTV262120 ODR262120 ONN262120 OXJ262120 PHF262120 PRB262120 QAX262120 QKT262120 QUP262120 REL262120 ROH262120 RYD262120 SHZ262120 SRV262120 TBR262120 TLN262120 TVJ262120 UFF262120 UPB262120 UYX262120 VIT262120 VSP262120 WCL262120 WMH262120 WWD262120 JR327656 TN327656 ADJ327656 ANF327656 AXB327656 BGX327656 BQT327656 CAP327656 CKL327656 CUH327656 DED327656 DNZ327656 DXV327656 EHR327656 ERN327656 FBJ327656 FLF327656 FVB327656 GEX327656 GOT327656 GYP327656 HIL327656 HSH327656 ICD327656 ILZ327656 IVV327656 JFR327656 JPN327656 JZJ327656 KJF327656 KTB327656 LCX327656 LMT327656 LWP327656 MGL327656 MQH327656 NAD327656 NJZ327656 NTV327656 ODR327656 ONN327656 OXJ327656 PHF327656 PRB327656 QAX327656 QKT327656 QUP327656 REL327656 ROH327656 RYD327656 SHZ327656 SRV327656 TBR327656 TLN327656 TVJ327656 UFF327656 UPB327656 UYX327656 VIT327656 VSP327656 WCL327656 WMH327656 WWD327656 JR393192 TN393192 ADJ393192 ANF393192 AXB393192 BGX393192 BQT393192 CAP393192 CKL393192 CUH393192 DED393192 DNZ393192 DXV393192 EHR393192 ERN393192 FBJ393192 FLF393192 FVB393192 GEX393192 GOT393192 GYP393192 HIL393192 HSH393192 ICD393192 ILZ393192 IVV393192 JFR393192 JPN393192 JZJ393192 KJF393192 KTB393192 LCX393192 LMT393192 LWP393192 MGL393192 MQH393192 NAD393192 NJZ393192 NTV393192 ODR393192 ONN393192 OXJ393192 PHF393192 PRB393192 QAX393192 QKT393192 QUP393192 REL393192 ROH393192 RYD393192 SHZ393192 SRV393192 TBR393192 TLN393192 TVJ393192 UFF393192 UPB393192 UYX393192 VIT393192 VSP393192 WCL393192 WMH393192 WWD393192 JR458728 TN458728 ADJ458728 ANF458728 AXB458728 BGX458728 BQT458728 CAP458728 CKL458728 CUH458728 DED458728 DNZ458728 DXV458728 EHR458728 ERN458728 FBJ458728 FLF458728 FVB458728 GEX458728 GOT458728 GYP458728 HIL458728 HSH458728 ICD458728 ILZ458728 IVV458728 JFR458728 JPN458728 JZJ458728 KJF458728 KTB458728 LCX458728 LMT458728 LWP458728 MGL458728 MQH458728 NAD458728 NJZ458728 NTV458728 ODR458728 ONN458728 OXJ458728 PHF458728 PRB458728 QAX458728 QKT458728 QUP458728 REL458728 ROH458728 RYD458728 SHZ458728 SRV458728 TBR458728 TLN458728 TVJ458728 UFF458728 UPB458728 UYX458728 VIT458728 VSP458728 WCL458728 WMH458728 WWD458728 JR524264 TN524264 ADJ524264 ANF524264 AXB524264 BGX524264 BQT524264 CAP524264 CKL524264 CUH524264 DED524264 DNZ524264 DXV524264 EHR524264 ERN524264 FBJ524264 FLF524264 FVB524264 GEX524264 GOT524264 GYP524264 HIL524264 HSH524264 ICD524264 ILZ524264 IVV524264 JFR524264 JPN524264 JZJ524264 KJF524264 KTB524264 LCX524264 LMT524264 LWP524264 MGL524264 MQH524264 NAD524264 NJZ524264 NTV524264 ODR524264 ONN524264 OXJ524264 PHF524264 PRB524264 QAX524264 QKT524264 QUP524264 REL524264 ROH524264 RYD524264 SHZ524264 SRV524264 TBR524264 TLN524264 TVJ524264 UFF524264 UPB524264 UYX524264 VIT524264 VSP524264 WCL524264 WMH524264 WWD524264 JR589800 TN589800 ADJ589800 ANF589800 AXB589800 BGX589800 BQT589800 CAP589800 CKL589800 CUH589800 DED589800 DNZ589800 DXV589800 EHR589800 ERN589800 FBJ589800 FLF589800 FVB589800 GEX589800 GOT589800 GYP589800 HIL589800 HSH589800 ICD589800 ILZ589800 IVV589800 JFR589800 JPN589800 JZJ589800 KJF589800 KTB589800 LCX589800 LMT589800 LWP589800 MGL589800 MQH589800 NAD589800 NJZ589800 NTV589800 ODR589800 ONN589800 OXJ589800 PHF589800 PRB589800 QAX589800 QKT589800 QUP589800 REL589800 ROH589800 RYD589800 SHZ589800 SRV589800 TBR589800 TLN589800 TVJ589800 UFF589800 UPB589800 UYX589800 VIT589800 VSP589800 WCL589800 WMH589800 WWD589800 JR655336 TN655336 ADJ655336 ANF655336 AXB655336 BGX655336 BQT655336 CAP655336 CKL655336 CUH655336 DED655336 DNZ655336 DXV655336 EHR655336 ERN655336 FBJ655336 FLF655336 FVB655336 GEX655336 GOT655336 GYP655336 HIL655336 HSH655336 ICD655336 ILZ655336 IVV655336 JFR655336 JPN655336 JZJ655336 KJF655336 KTB655336 LCX655336 LMT655336 LWP655336 MGL655336 MQH655336 NAD655336 NJZ655336 NTV655336 ODR655336 ONN655336 OXJ655336 PHF655336 PRB655336 QAX655336 QKT655336 QUP655336 REL655336 ROH655336 RYD655336 SHZ655336 SRV655336 TBR655336 TLN655336 TVJ655336 UFF655336 UPB655336 UYX655336 VIT655336 VSP655336 WCL655336 WMH655336 WWD655336 JR720872 TN720872 ADJ720872 ANF720872 AXB720872 BGX720872 BQT720872 CAP720872 CKL720872 CUH720872 DED720872 DNZ720872 DXV720872 EHR720872 ERN720872 FBJ720872 FLF720872 FVB720872 GEX720872 GOT720872 GYP720872 HIL720872 HSH720872 ICD720872 ILZ720872 IVV720872 JFR720872 JPN720872 JZJ720872 KJF720872 KTB720872 LCX720872 LMT720872 LWP720872 MGL720872 MQH720872 NAD720872 NJZ720872 NTV720872 ODR720872 ONN720872 OXJ720872 PHF720872 PRB720872 QAX720872 QKT720872 QUP720872 REL720872 ROH720872 RYD720872 SHZ720872 SRV720872 TBR720872 TLN720872 TVJ720872 UFF720872 UPB720872 UYX720872 VIT720872 VSP720872 WCL720872 WMH720872 WWD720872 JR786408 TN786408 ADJ786408 ANF786408 AXB786408 BGX786408 BQT786408 CAP786408 CKL786408 CUH786408 DED786408 DNZ786408 DXV786408 EHR786408 ERN786408 FBJ786408 FLF786408 FVB786408 GEX786408 GOT786408 GYP786408 HIL786408 HSH786408 ICD786408 ILZ786408 IVV786408 JFR786408 JPN786408 JZJ786408 KJF786408 KTB786408 LCX786408 LMT786408 LWP786408 MGL786408 MQH786408 NAD786408 NJZ786408 NTV786408 ODR786408 ONN786408 OXJ786408 PHF786408 PRB786408 QAX786408 QKT786408 QUP786408 REL786408 ROH786408 RYD786408 SHZ786408 SRV786408 TBR786408 TLN786408 TVJ786408 UFF786408 UPB786408 UYX786408 VIT786408 VSP786408 WCL786408 WMH786408 WWD786408 JR851944 TN851944 ADJ851944 ANF851944 AXB851944 BGX851944 BQT851944 CAP851944 CKL851944 CUH851944 DED851944 DNZ851944 DXV851944 EHR851944 ERN851944 FBJ851944 FLF851944 FVB851944 GEX851944 GOT851944 GYP851944 HIL851944 HSH851944 ICD851944 ILZ851944 IVV851944 JFR851944 JPN851944 JZJ851944 KJF851944 KTB851944 LCX851944 LMT851944 LWP851944 MGL851944 MQH851944 NAD851944 NJZ851944 NTV851944 ODR851944 ONN851944 OXJ851944 PHF851944 PRB851944 QAX851944 QKT851944 QUP851944 REL851944 ROH851944 RYD851944 SHZ851944 SRV851944 TBR851944 TLN851944 TVJ851944 UFF851944 UPB851944 UYX851944 VIT851944 VSP851944 WCL851944 WMH851944 WWD851944 JR917480 TN917480 ADJ917480 ANF917480 AXB917480 BGX917480 BQT917480 CAP917480 CKL917480 CUH917480 DED917480 DNZ917480 DXV917480 EHR917480 ERN917480 FBJ917480 FLF917480 FVB917480 GEX917480 GOT917480 GYP917480 HIL917480 HSH917480 ICD917480 ILZ917480 IVV917480 JFR917480 JPN917480 JZJ917480 KJF917480 KTB917480 LCX917480 LMT917480 LWP917480 MGL917480 MQH917480 NAD917480 NJZ917480 NTV917480 ODR917480 ONN917480 OXJ917480 PHF917480 PRB917480 QAX917480 QKT917480 QUP917480 REL917480 ROH917480 RYD917480 SHZ917480 SRV917480 TBR917480 TLN917480 TVJ917480 UFF917480 UPB917480 UYX917480 VIT917480 VSP917480 WCL917480 WMH917480 WWD917480 JR983016 TN983016 ADJ983016 ANF983016 AXB983016 BGX983016 BQT983016 CAP983016 CKL983016 CUH983016 DED983016 DNZ983016 DXV983016 EHR983016 ERN983016 FBJ983016 FLF983016 FVB983016 GEX983016 GOT983016 GYP983016 HIL983016 HSH983016 ICD983016 ILZ983016 IVV983016 JFR983016 JPN983016 JZJ983016 KJF983016 KTB983016 LCX983016 LMT983016 LWP983016 MGL983016 MQH983016 NAD983016 NJZ983016 NTV983016 ODR983016 ONN983016 OXJ983016 PHF983016 PRB983016 QAX983016 QKT983016 QUP983016 REL983016 ROH983016 RYD983016 SHZ983016 SRV983016 TBR983016 TLN983016 TVJ983016 UFF983016 UPB983016 UYX983016 VIT983016 VSP983016 WCL983016 WMH983016 WWD983016"/>
    <dataValidation allowBlank="1" showInputMessage="1" showErrorMessage="1" prompt="53° 20' 52.4436''" sqref="JP65512 TL65512 ADH65512 AND65512 AWZ65512 BGV65512 BQR65512 CAN65512 CKJ65512 CUF65512 DEB65512 DNX65512 DXT65512 EHP65512 ERL65512 FBH65512 FLD65512 FUZ65512 GEV65512 GOR65512 GYN65512 HIJ65512 HSF65512 ICB65512 ILX65512 IVT65512 JFP65512 JPL65512 JZH65512 KJD65512 KSZ65512 LCV65512 LMR65512 LWN65512 MGJ65512 MQF65512 NAB65512 NJX65512 NTT65512 ODP65512 ONL65512 OXH65512 PHD65512 PQZ65512 QAV65512 QKR65512 QUN65512 REJ65512 ROF65512 RYB65512 SHX65512 SRT65512 TBP65512 TLL65512 TVH65512 UFD65512 UOZ65512 UYV65512 VIR65512 VSN65512 WCJ65512 WMF65512 WWB65512 JP131048 TL131048 ADH131048 AND131048 AWZ131048 BGV131048 BQR131048 CAN131048 CKJ131048 CUF131048 DEB131048 DNX131048 DXT131048 EHP131048 ERL131048 FBH131048 FLD131048 FUZ131048 GEV131048 GOR131048 GYN131048 HIJ131048 HSF131048 ICB131048 ILX131048 IVT131048 JFP131048 JPL131048 JZH131048 KJD131048 KSZ131048 LCV131048 LMR131048 LWN131048 MGJ131048 MQF131048 NAB131048 NJX131048 NTT131048 ODP131048 ONL131048 OXH131048 PHD131048 PQZ131048 QAV131048 QKR131048 QUN131048 REJ131048 ROF131048 RYB131048 SHX131048 SRT131048 TBP131048 TLL131048 TVH131048 UFD131048 UOZ131048 UYV131048 VIR131048 VSN131048 WCJ131048 WMF131048 WWB131048 JP196584 TL196584 ADH196584 AND196584 AWZ196584 BGV196584 BQR196584 CAN196584 CKJ196584 CUF196584 DEB196584 DNX196584 DXT196584 EHP196584 ERL196584 FBH196584 FLD196584 FUZ196584 GEV196584 GOR196584 GYN196584 HIJ196584 HSF196584 ICB196584 ILX196584 IVT196584 JFP196584 JPL196584 JZH196584 KJD196584 KSZ196584 LCV196584 LMR196584 LWN196584 MGJ196584 MQF196584 NAB196584 NJX196584 NTT196584 ODP196584 ONL196584 OXH196584 PHD196584 PQZ196584 QAV196584 QKR196584 QUN196584 REJ196584 ROF196584 RYB196584 SHX196584 SRT196584 TBP196584 TLL196584 TVH196584 UFD196584 UOZ196584 UYV196584 VIR196584 VSN196584 WCJ196584 WMF196584 WWB196584 JP262120 TL262120 ADH262120 AND262120 AWZ262120 BGV262120 BQR262120 CAN262120 CKJ262120 CUF262120 DEB262120 DNX262120 DXT262120 EHP262120 ERL262120 FBH262120 FLD262120 FUZ262120 GEV262120 GOR262120 GYN262120 HIJ262120 HSF262120 ICB262120 ILX262120 IVT262120 JFP262120 JPL262120 JZH262120 KJD262120 KSZ262120 LCV262120 LMR262120 LWN262120 MGJ262120 MQF262120 NAB262120 NJX262120 NTT262120 ODP262120 ONL262120 OXH262120 PHD262120 PQZ262120 QAV262120 QKR262120 QUN262120 REJ262120 ROF262120 RYB262120 SHX262120 SRT262120 TBP262120 TLL262120 TVH262120 UFD262120 UOZ262120 UYV262120 VIR262120 VSN262120 WCJ262120 WMF262120 WWB262120 JP327656 TL327656 ADH327656 AND327656 AWZ327656 BGV327656 BQR327656 CAN327656 CKJ327656 CUF327656 DEB327656 DNX327656 DXT327656 EHP327656 ERL327656 FBH327656 FLD327656 FUZ327656 GEV327656 GOR327656 GYN327656 HIJ327656 HSF327656 ICB327656 ILX327656 IVT327656 JFP327656 JPL327656 JZH327656 KJD327656 KSZ327656 LCV327656 LMR327656 LWN327656 MGJ327656 MQF327656 NAB327656 NJX327656 NTT327656 ODP327656 ONL327656 OXH327656 PHD327656 PQZ327656 QAV327656 QKR327656 QUN327656 REJ327656 ROF327656 RYB327656 SHX327656 SRT327656 TBP327656 TLL327656 TVH327656 UFD327656 UOZ327656 UYV327656 VIR327656 VSN327656 WCJ327656 WMF327656 WWB327656 JP393192 TL393192 ADH393192 AND393192 AWZ393192 BGV393192 BQR393192 CAN393192 CKJ393192 CUF393192 DEB393192 DNX393192 DXT393192 EHP393192 ERL393192 FBH393192 FLD393192 FUZ393192 GEV393192 GOR393192 GYN393192 HIJ393192 HSF393192 ICB393192 ILX393192 IVT393192 JFP393192 JPL393192 JZH393192 KJD393192 KSZ393192 LCV393192 LMR393192 LWN393192 MGJ393192 MQF393192 NAB393192 NJX393192 NTT393192 ODP393192 ONL393192 OXH393192 PHD393192 PQZ393192 QAV393192 QKR393192 QUN393192 REJ393192 ROF393192 RYB393192 SHX393192 SRT393192 TBP393192 TLL393192 TVH393192 UFD393192 UOZ393192 UYV393192 VIR393192 VSN393192 WCJ393192 WMF393192 WWB393192 JP458728 TL458728 ADH458728 AND458728 AWZ458728 BGV458728 BQR458728 CAN458728 CKJ458728 CUF458728 DEB458728 DNX458728 DXT458728 EHP458728 ERL458728 FBH458728 FLD458728 FUZ458728 GEV458728 GOR458728 GYN458728 HIJ458728 HSF458728 ICB458728 ILX458728 IVT458728 JFP458728 JPL458728 JZH458728 KJD458728 KSZ458728 LCV458728 LMR458728 LWN458728 MGJ458728 MQF458728 NAB458728 NJX458728 NTT458728 ODP458728 ONL458728 OXH458728 PHD458728 PQZ458728 QAV458728 QKR458728 QUN458728 REJ458728 ROF458728 RYB458728 SHX458728 SRT458728 TBP458728 TLL458728 TVH458728 UFD458728 UOZ458728 UYV458728 VIR458728 VSN458728 WCJ458728 WMF458728 WWB458728 JP524264 TL524264 ADH524264 AND524264 AWZ524264 BGV524264 BQR524264 CAN524264 CKJ524264 CUF524264 DEB524264 DNX524264 DXT524264 EHP524264 ERL524264 FBH524264 FLD524264 FUZ524264 GEV524264 GOR524264 GYN524264 HIJ524264 HSF524264 ICB524264 ILX524264 IVT524264 JFP524264 JPL524264 JZH524264 KJD524264 KSZ524264 LCV524264 LMR524264 LWN524264 MGJ524264 MQF524264 NAB524264 NJX524264 NTT524264 ODP524264 ONL524264 OXH524264 PHD524264 PQZ524264 QAV524264 QKR524264 QUN524264 REJ524264 ROF524264 RYB524264 SHX524264 SRT524264 TBP524264 TLL524264 TVH524264 UFD524264 UOZ524264 UYV524264 VIR524264 VSN524264 WCJ524264 WMF524264 WWB524264 JP589800 TL589800 ADH589800 AND589800 AWZ589800 BGV589800 BQR589800 CAN589800 CKJ589800 CUF589800 DEB589800 DNX589800 DXT589800 EHP589800 ERL589800 FBH589800 FLD589800 FUZ589800 GEV589800 GOR589800 GYN589800 HIJ589800 HSF589800 ICB589800 ILX589800 IVT589800 JFP589800 JPL589800 JZH589800 KJD589800 KSZ589800 LCV589800 LMR589800 LWN589800 MGJ589800 MQF589800 NAB589800 NJX589800 NTT589800 ODP589800 ONL589800 OXH589800 PHD589800 PQZ589800 QAV589800 QKR589800 QUN589800 REJ589800 ROF589800 RYB589800 SHX589800 SRT589800 TBP589800 TLL589800 TVH589800 UFD589800 UOZ589800 UYV589800 VIR589800 VSN589800 WCJ589800 WMF589800 WWB589800 JP655336 TL655336 ADH655336 AND655336 AWZ655336 BGV655336 BQR655336 CAN655336 CKJ655336 CUF655336 DEB655336 DNX655336 DXT655336 EHP655336 ERL655336 FBH655336 FLD655336 FUZ655336 GEV655336 GOR655336 GYN655336 HIJ655336 HSF655336 ICB655336 ILX655336 IVT655336 JFP655336 JPL655336 JZH655336 KJD655336 KSZ655336 LCV655336 LMR655336 LWN655336 MGJ655336 MQF655336 NAB655336 NJX655336 NTT655336 ODP655336 ONL655336 OXH655336 PHD655336 PQZ655336 QAV655336 QKR655336 QUN655336 REJ655336 ROF655336 RYB655336 SHX655336 SRT655336 TBP655336 TLL655336 TVH655336 UFD655336 UOZ655336 UYV655336 VIR655336 VSN655336 WCJ655336 WMF655336 WWB655336 JP720872 TL720872 ADH720872 AND720872 AWZ720872 BGV720872 BQR720872 CAN720872 CKJ720872 CUF720872 DEB720872 DNX720872 DXT720872 EHP720872 ERL720872 FBH720872 FLD720872 FUZ720872 GEV720872 GOR720872 GYN720872 HIJ720872 HSF720872 ICB720872 ILX720872 IVT720872 JFP720872 JPL720872 JZH720872 KJD720872 KSZ720872 LCV720872 LMR720872 LWN720872 MGJ720872 MQF720872 NAB720872 NJX720872 NTT720872 ODP720872 ONL720872 OXH720872 PHD720872 PQZ720872 QAV720872 QKR720872 QUN720872 REJ720872 ROF720872 RYB720872 SHX720872 SRT720872 TBP720872 TLL720872 TVH720872 UFD720872 UOZ720872 UYV720872 VIR720872 VSN720872 WCJ720872 WMF720872 WWB720872 JP786408 TL786408 ADH786408 AND786408 AWZ786408 BGV786408 BQR786408 CAN786408 CKJ786408 CUF786408 DEB786408 DNX786408 DXT786408 EHP786408 ERL786408 FBH786408 FLD786408 FUZ786408 GEV786408 GOR786408 GYN786408 HIJ786408 HSF786408 ICB786408 ILX786408 IVT786408 JFP786408 JPL786408 JZH786408 KJD786408 KSZ786408 LCV786408 LMR786408 LWN786408 MGJ786408 MQF786408 NAB786408 NJX786408 NTT786408 ODP786408 ONL786408 OXH786408 PHD786408 PQZ786408 QAV786408 QKR786408 QUN786408 REJ786408 ROF786408 RYB786408 SHX786408 SRT786408 TBP786408 TLL786408 TVH786408 UFD786408 UOZ786408 UYV786408 VIR786408 VSN786408 WCJ786408 WMF786408 WWB786408 JP851944 TL851944 ADH851944 AND851944 AWZ851944 BGV851944 BQR851944 CAN851944 CKJ851944 CUF851944 DEB851944 DNX851944 DXT851944 EHP851944 ERL851944 FBH851944 FLD851944 FUZ851944 GEV851944 GOR851944 GYN851944 HIJ851944 HSF851944 ICB851944 ILX851944 IVT851944 JFP851944 JPL851944 JZH851944 KJD851944 KSZ851944 LCV851944 LMR851944 LWN851944 MGJ851944 MQF851944 NAB851944 NJX851944 NTT851944 ODP851944 ONL851944 OXH851944 PHD851944 PQZ851944 QAV851944 QKR851944 QUN851944 REJ851944 ROF851944 RYB851944 SHX851944 SRT851944 TBP851944 TLL851944 TVH851944 UFD851944 UOZ851944 UYV851944 VIR851944 VSN851944 WCJ851944 WMF851944 WWB851944 JP917480 TL917480 ADH917480 AND917480 AWZ917480 BGV917480 BQR917480 CAN917480 CKJ917480 CUF917480 DEB917480 DNX917480 DXT917480 EHP917480 ERL917480 FBH917480 FLD917480 FUZ917480 GEV917480 GOR917480 GYN917480 HIJ917480 HSF917480 ICB917480 ILX917480 IVT917480 JFP917480 JPL917480 JZH917480 KJD917480 KSZ917480 LCV917480 LMR917480 LWN917480 MGJ917480 MQF917480 NAB917480 NJX917480 NTT917480 ODP917480 ONL917480 OXH917480 PHD917480 PQZ917480 QAV917480 QKR917480 QUN917480 REJ917480 ROF917480 RYB917480 SHX917480 SRT917480 TBP917480 TLL917480 TVH917480 UFD917480 UOZ917480 UYV917480 VIR917480 VSN917480 WCJ917480 WMF917480 WWB917480 JP983016 TL983016 ADH983016 AND983016 AWZ983016 BGV983016 BQR983016 CAN983016 CKJ983016 CUF983016 DEB983016 DNX983016 DXT983016 EHP983016 ERL983016 FBH983016 FLD983016 FUZ983016 GEV983016 GOR983016 GYN983016 HIJ983016 HSF983016 ICB983016 ILX983016 IVT983016 JFP983016 JPL983016 JZH983016 KJD983016 KSZ983016 LCV983016 LMR983016 LWN983016 MGJ983016 MQF983016 NAB983016 NJX983016 NTT983016 ODP983016 ONL983016 OXH983016 PHD983016 PQZ983016 QAV983016 QKR983016 QUN983016 REJ983016 ROF983016 RYB983016 SHX983016 SRT983016 TBP983016 TLL983016 TVH983016 UFD983016 UOZ983016 UYV983016 VIR983016 VSN983016 WCJ983016 WMF983016 WWB983016"/>
    <dataValidation allowBlank="1" showInputMessage="1" showErrorMessage="1" prompt="-6.294484" sqref="JR65508 TN65508 ADJ65508 ANF65508 AXB65508 BGX65508 BQT65508 CAP65508 CKL65508 CUH65508 DED65508 DNZ65508 DXV65508 EHR65508 ERN65508 FBJ65508 FLF65508 FVB65508 GEX65508 GOT65508 GYP65508 HIL65508 HSH65508 ICD65508 ILZ65508 IVV65508 JFR65508 JPN65508 JZJ65508 KJF65508 KTB65508 LCX65508 LMT65508 LWP65508 MGL65508 MQH65508 NAD65508 NJZ65508 NTV65508 ODR65508 ONN65508 OXJ65508 PHF65508 PRB65508 QAX65508 QKT65508 QUP65508 REL65508 ROH65508 RYD65508 SHZ65508 SRV65508 TBR65508 TLN65508 TVJ65508 UFF65508 UPB65508 UYX65508 VIT65508 VSP65508 WCL65508 WMH65508 WWD65508 JR131044 TN131044 ADJ131044 ANF131044 AXB131044 BGX131044 BQT131044 CAP131044 CKL131044 CUH131044 DED131044 DNZ131044 DXV131044 EHR131044 ERN131044 FBJ131044 FLF131044 FVB131044 GEX131044 GOT131044 GYP131044 HIL131044 HSH131044 ICD131044 ILZ131044 IVV131044 JFR131044 JPN131044 JZJ131044 KJF131044 KTB131044 LCX131044 LMT131044 LWP131044 MGL131044 MQH131044 NAD131044 NJZ131044 NTV131044 ODR131044 ONN131044 OXJ131044 PHF131044 PRB131044 QAX131044 QKT131044 QUP131044 REL131044 ROH131044 RYD131044 SHZ131044 SRV131044 TBR131044 TLN131044 TVJ131044 UFF131044 UPB131044 UYX131044 VIT131044 VSP131044 WCL131044 WMH131044 WWD131044 JR196580 TN196580 ADJ196580 ANF196580 AXB196580 BGX196580 BQT196580 CAP196580 CKL196580 CUH196580 DED196580 DNZ196580 DXV196580 EHR196580 ERN196580 FBJ196580 FLF196580 FVB196580 GEX196580 GOT196580 GYP196580 HIL196580 HSH196580 ICD196580 ILZ196580 IVV196580 JFR196580 JPN196580 JZJ196580 KJF196580 KTB196580 LCX196580 LMT196580 LWP196580 MGL196580 MQH196580 NAD196580 NJZ196580 NTV196580 ODR196580 ONN196580 OXJ196580 PHF196580 PRB196580 QAX196580 QKT196580 QUP196580 REL196580 ROH196580 RYD196580 SHZ196580 SRV196580 TBR196580 TLN196580 TVJ196580 UFF196580 UPB196580 UYX196580 VIT196580 VSP196580 WCL196580 WMH196580 WWD196580 JR262116 TN262116 ADJ262116 ANF262116 AXB262116 BGX262116 BQT262116 CAP262116 CKL262116 CUH262116 DED262116 DNZ262116 DXV262116 EHR262116 ERN262116 FBJ262116 FLF262116 FVB262116 GEX262116 GOT262116 GYP262116 HIL262116 HSH262116 ICD262116 ILZ262116 IVV262116 JFR262116 JPN262116 JZJ262116 KJF262116 KTB262116 LCX262116 LMT262116 LWP262116 MGL262116 MQH262116 NAD262116 NJZ262116 NTV262116 ODR262116 ONN262116 OXJ262116 PHF262116 PRB262116 QAX262116 QKT262116 QUP262116 REL262116 ROH262116 RYD262116 SHZ262116 SRV262116 TBR262116 TLN262116 TVJ262116 UFF262116 UPB262116 UYX262116 VIT262116 VSP262116 WCL262116 WMH262116 WWD262116 JR327652 TN327652 ADJ327652 ANF327652 AXB327652 BGX327652 BQT327652 CAP327652 CKL327652 CUH327652 DED327652 DNZ327652 DXV327652 EHR327652 ERN327652 FBJ327652 FLF327652 FVB327652 GEX327652 GOT327652 GYP327652 HIL327652 HSH327652 ICD327652 ILZ327652 IVV327652 JFR327652 JPN327652 JZJ327652 KJF327652 KTB327652 LCX327652 LMT327652 LWP327652 MGL327652 MQH327652 NAD327652 NJZ327652 NTV327652 ODR327652 ONN327652 OXJ327652 PHF327652 PRB327652 QAX327652 QKT327652 QUP327652 REL327652 ROH327652 RYD327652 SHZ327652 SRV327652 TBR327652 TLN327652 TVJ327652 UFF327652 UPB327652 UYX327652 VIT327652 VSP327652 WCL327652 WMH327652 WWD327652 JR393188 TN393188 ADJ393188 ANF393188 AXB393188 BGX393188 BQT393188 CAP393188 CKL393188 CUH393188 DED393188 DNZ393188 DXV393188 EHR393188 ERN393188 FBJ393188 FLF393188 FVB393188 GEX393188 GOT393188 GYP393188 HIL393188 HSH393188 ICD393188 ILZ393188 IVV393188 JFR393188 JPN393188 JZJ393188 KJF393188 KTB393188 LCX393188 LMT393188 LWP393188 MGL393188 MQH393188 NAD393188 NJZ393188 NTV393188 ODR393188 ONN393188 OXJ393188 PHF393188 PRB393188 QAX393188 QKT393188 QUP393188 REL393188 ROH393188 RYD393188 SHZ393188 SRV393188 TBR393188 TLN393188 TVJ393188 UFF393188 UPB393188 UYX393188 VIT393188 VSP393188 WCL393188 WMH393188 WWD393188 JR458724 TN458724 ADJ458724 ANF458724 AXB458724 BGX458724 BQT458724 CAP458724 CKL458724 CUH458724 DED458724 DNZ458724 DXV458724 EHR458724 ERN458724 FBJ458724 FLF458724 FVB458724 GEX458724 GOT458724 GYP458724 HIL458724 HSH458724 ICD458724 ILZ458724 IVV458724 JFR458724 JPN458724 JZJ458724 KJF458724 KTB458724 LCX458724 LMT458724 LWP458724 MGL458724 MQH458724 NAD458724 NJZ458724 NTV458724 ODR458724 ONN458724 OXJ458724 PHF458724 PRB458724 QAX458724 QKT458724 QUP458724 REL458724 ROH458724 RYD458724 SHZ458724 SRV458724 TBR458724 TLN458724 TVJ458724 UFF458724 UPB458724 UYX458724 VIT458724 VSP458724 WCL458724 WMH458724 WWD458724 JR524260 TN524260 ADJ524260 ANF524260 AXB524260 BGX524260 BQT524260 CAP524260 CKL524260 CUH524260 DED524260 DNZ524260 DXV524260 EHR524260 ERN524260 FBJ524260 FLF524260 FVB524260 GEX524260 GOT524260 GYP524260 HIL524260 HSH524260 ICD524260 ILZ524260 IVV524260 JFR524260 JPN524260 JZJ524260 KJF524260 KTB524260 LCX524260 LMT524260 LWP524260 MGL524260 MQH524260 NAD524260 NJZ524260 NTV524260 ODR524260 ONN524260 OXJ524260 PHF524260 PRB524260 QAX524260 QKT524260 QUP524260 REL524260 ROH524260 RYD524260 SHZ524260 SRV524260 TBR524260 TLN524260 TVJ524260 UFF524260 UPB524260 UYX524260 VIT524260 VSP524260 WCL524260 WMH524260 WWD524260 JR589796 TN589796 ADJ589796 ANF589796 AXB589796 BGX589796 BQT589796 CAP589796 CKL589796 CUH589796 DED589796 DNZ589796 DXV589796 EHR589796 ERN589796 FBJ589796 FLF589796 FVB589796 GEX589796 GOT589796 GYP589796 HIL589796 HSH589796 ICD589796 ILZ589796 IVV589796 JFR589796 JPN589796 JZJ589796 KJF589796 KTB589796 LCX589796 LMT589796 LWP589796 MGL589796 MQH589796 NAD589796 NJZ589796 NTV589796 ODR589796 ONN589796 OXJ589796 PHF589796 PRB589796 QAX589796 QKT589796 QUP589796 REL589796 ROH589796 RYD589796 SHZ589796 SRV589796 TBR589796 TLN589796 TVJ589796 UFF589796 UPB589796 UYX589796 VIT589796 VSP589796 WCL589796 WMH589796 WWD589796 JR655332 TN655332 ADJ655332 ANF655332 AXB655332 BGX655332 BQT655332 CAP655332 CKL655332 CUH655332 DED655332 DNZ655332 DXV655332 EHR655332 ERN655332 FBJ655332 FLF655332 FVB655332 GEX655332 GOT655332 GYP655332 HIL655332 HSH655332 ICD655332 ILZ655332 IVV655332 JFR655332 JPN655332 JZJ655332 KJF655332 KTB655332 LCX655332 LMT655332 LWP655332 MGL655332 MQH655332 NAD655332 NJZ655332 NTV655332 ODR655332 ONN655332 OXJ655332 PHF655332 PRB655332 QAX655332 QKT655332 QUP655332 REL655332 ROH655332 RYD655332 SHZ655332 SRV655332 TBR655332 TLN655332 TVJ655332 UFF655332 UPB655332 UYX655332 VIT655332 VSP655332 WCL655332 WMH655332 WWD655332 JR720868 TN720868 ADJ720868 ANF720868 AXB720868 BGX720868 BQT720868 CAP720868 CKL720868 CUH720868 DED720868 DNZ720868 DXV720868 EHR720868 ERN720868 FBJ720868 FLF720868 FVB720868 GEX720868 GOT720868 GYP720868 HIL720868 HSH720868 ICD720868 ILZ720868 IVV720868 JFR720868 JPN720868 JZJ720868 KJF720868 KTB720868 LCX720868 LMT720868 LWP720868 MGL720868 MQH720868 NAD720868 NJZ720868 NTV720868 ODR720868 ONN720868 OXJ720868 PHF720868 PRB720868 QAX720868 QKT720868 QUP720868 REL720868 ROH720868 RYD720868 SHZ720868 SRV720868 TBR720868 TLN720868 TVJ720868 UFF720868 UPB720868 UYX720868 VIT720868 VSP720868 WCL720868 WMH720868 WWD720868 JR786404 TN786404 ADJ786404 ANF786404 AXB786404 BGX786404 BQT786404 CAP786404 CKL786404 CUH786404 DED786404 DNZ786404 DXV786404 EHR786404 ERN786404 FBJ786404 FLF786404 FVB786404 GEX786404 GOT786404 GYP786404 HIL786404 HSH786404 ICD786404 ILZ786404 IVV786404 JFR786404 JPN786404 JZJ786404 KJF786404 KTB786404 LCX786404 LMT786404 LWP786404 MGL786404 MQH786404 NAD786404 NJZ786404 NTV786404 ODR786404 ONN786404 OXJ786404 PHF786404 PRB786404 QAX786404 QKT786404 QUP786404 REL786404 ROH786404 RYD786404 SHZ786404 SRV786404 TBR786404 TLN786404 TVJ786404 UFF786404 UPB786404 UYX786404 VIT786404 VSP786404 WCL786404 WMH786404 WWD786404 JR851940 TN851940 ADJ851940 ANF851940 AXB851940 BGX851940 BQT851940 CAP851940 CKL851940 CUH851940 DED851940 DNZ851940 DXV851940 EHR851940 ERN851940 FBJ851940 FLF851940 FVB851940 GEX851940 GOT851940 GYP851940 HIL851940 HSH851940 ICD851940 ILZ851940 IVV851940 JFR851940 JPN851940 JZJ851940 KJF851940 KTB851940 LCX851940 LMT851940 LWP851940 MGL851940 MQH851940 NAD851940 NJZ851940 NTV851940 ODR851940 ONN851940 OXJ851940 PHF851940 PRB851940 QAX851940 QKT851940 QUP851940 REL851940 ROH851940 RYD851940 SHZ851940 SRV851940 TBR851940 TLN851940 TVJ851940 UFF851940 UPB851940 UYX851940 VIT851940 VSP851940 WCL851940 WMH851940 WWD851940 JR917476 TN917476 ADJ917476 ANF917476 AXB917476 BGX917476 BQT917476 CAP917476 CKL917476 CUH917476 DED917476 DNZ917476 DXV917476 EHR917476 ERN917476 FBJ917476 FLF917476 FVB917476 GEX917476 GOT917476 GYP917476 HIL917476 HSH917476 ICD917476 ILZ917476 IVV917476 JFR917476 JPN917476 JZJ917476 KJF917476 KTB917476 LCX917476 LMT917476 LWP917476 MGL917476 MQH917476 NAD917476 NJZ917476 NTV917476 ODR917476 ONN917476 OXJ917476 PHF917476 PRB917476 QAX917476 QKT917476 QUP917476 REL917476 ROH917476 RYD917476 SHZ917476 SRV917476 TBR917476 TLN917476 TVJ917476 UFF917476 UPB917476 UYX917476 VIT917476 VSP917476 WCL917476 WMH917476 WWD917476 JR983012 TN983012 ADJ983012 ANF983012 AXB983012 BGX983012 BQT983012 CAP983012 CKL983012 CUH983012 DED983012 DNZ983012 DXV983012 EHR983012 ERN983012 FBJ983012 FLF983012 FVB983012 GEX983012 GOT983012 GYP983012 HIL983012 HSH983012 ICD983012 ILZ983012 IVV983012 JFR983012 JPN983012 JZJ983012 KJF983012 KTB983012 LCX983012 LMT983012 LWP983012 MGL983012 MQH983012 NAD983012 NJZ983012 NTV983012 ODR983012 ONN983012 OXJ983012 PHF983012 PRB983012 QAX983012 QKT983012 QUP983012 REL983012 ROH983012 RYD983012 SHZ983012 SRV983012 TBR983012 TLN983012 TVJ983012 UFF983012 UPB983012 UYX983012 VIT983012 VSP983012 WCL983012 WMH983012 WWD983012"/>
    <dataValidation allowBlank="1" showInputMessage="1" showErrorMessage="1" prompt="53.347901" sqref="JP65508 TL65508 ADH65508 AND65508 AWZ65508 BGV65508 BQR65508 CAN65508 CKJ65508 CUF65508 DEB65508 DNX65508 DXT65508 EHP65508 ERL65508 FBH65508 FLD65508 FUZ65508 GEV65508 GOR65508 GYN65508 HIJ65508 HSF65508 ICB65508 ILX65508 IVT65508 JFP65508 JPL65508 JZH65508 KJD65508 KSZ65508 LCV65508 LMR65508 LWN65508 MGJ65508 MQF65508 NAB65508 NJX65508 NTT65508 ODP65508 ONL65508 OXH65508 PHD65508 PQZ65508 QAV65508 QKR65508 QUN65508 REJ65508 ROF65508 RYB65508 SHX65508 SRT65508 TBP65508 TLL65508 TVH65508 UFD65508 UOZ65508 UYV65508 VIR65508 VSN65508 WCJ65508 WMF65508 WWB65508 JP131044 TL131044 ADH131044 AND131044 AWZ131044 BGV131044 BQR131044 CAN131044 CKJ131044 CUF131044 DEB131044 DNX131044 DXT131044 EHP131044 ERL131044 FBH131044 FLD131044 FUZ131044 GEV131044 GOR131044 GYN131044 HIJ131044 HSF131044 ICB131044 ILX131044 IVT131044 JFP131044 JPL131044 JZH131044 KJD131044 KSZ131044 LCV131044 LMR131044 LWN131044 MGJ131044 MQF131044 NAB131044 NJX131044 NTT131044 ODP131044 ONL131044 OXH131044 PHD131044 PQZ131044 QAV131044 QKR131044 QUN131044 REJ131044 ROF131044 RYB131044 SHX131044 SRT131044 TBP131044 TLL131044 TVH131044 UFD131044 UOZ131044 UYV131044 VIR131044 VSN131044 WCJ131044 WMF131044 WWB131044 JP196580 TL196580 ADH196580 AND196580 AWZ196580 BGV196580 BQR196580 CAN196580 CKJ196580 CUF196580 DEB196580 DNX196580 DXT196580 EHP196580 ERL196580 FBH196580 FLD196580 FUZ196580 GEV196580 GOR196580 GYN196580 HIJ196580 HSF196580 ICB196580 ILX196580 IVT196580 JFP196580 JPL196580 JZH196580 KJD196580 KSZ196580 LCV196580 LMR196580 LWN196580 MGJ196580 MQF196580 NAB196580 NJX196580 NTT196580 ODP196580 ONL196580 OXH196580 PHD196580 PQZ196580 QAV196580 QKR196580 QUN196580 REJ196580 ROF196580 RYB196580 SHX196580 SRT196580 TBP196580 TLL196580 TVH196580 UFD196580 UOZ196580 UYV196580 VIR196580 VSN196580 WCJ196580 WMF196580 WWB196580 JP262116 TL262116 ADH262116 AND262116 AWZ262116 BGV262116 BQR262116 CAN262116 CKJ262116 CUF262116 DEB262116 DNX262116 DXT262116 EHP262116 ERL262116 FBH262116 FLD262116 FUZ262116 GEV262116 GOR262116 GYN262116 HIJ262116 HSF262116 ICB262116 ILX262116 IVT262116 JFP262116 JPL262116 JZH262116 KJD262116 KSZ262116 LCV262116 LMR262116 LWN262116 MGJ262116 MQF262116 NAB262116 NJX262116 NTT262116 ODP262116 ONL262116 OXH262116 PHD262116 PQZ262116 QAV262116 QKR262116 QUN262116 REJ262116 ROF262116 RYB262116 SHX262116 SRT262116 TBP262116 TLL262116 TVH262116 UFD262116 UOZ262116 UYV262116 VIR262116 VSN262116 WCJ262116 WMF262116 WWB262116 JP327652 TL327652 ADH327652 AND327652 AWZ327652 BGV327652 BQR327652 CAN327652 CKJ327652 CUF327652 DEB327652 DNX327652 DXT327652 EHP327652 ERL327652 FBH327652 FLD327652 FUZ327652 GEV327652 GOR327652 GYN327652 HIJ327652 HSF327652 ICB327652 ILX327652 IVT327652 JFP327652 JPL327652 JZH327652 KJD327652 KSZ327652 LCV327652 LMR327652 LWN327652 MGJ327652 MQF327652 NAB327652 NJX327652 NTT327652 ODP327652 ONL327652 OXH327652 PHD327652 PQZ327652 QAV327652 QKR327652 QUN327652 REJ327652 ROF327652 RYB327652 SHX327652 SRT327652 TBP327652 TLL327652 TVH327652 UFD327652 UOZ327652 UYV327652 VIR327652 VSN327652 WCJ327652 WMF327652 WWB327652 JP393188 TL393188 ADH393188 AND393188 AWZ393188 BGV393188 BQR393188 CAN393188 CKJ393188 CUF393188 DEB393188 DNX393188 DXT393188 EHP393188 ERL393188 FBH393188 FLD393188 FUZ393188 GEV393188 GOR393188 GYN393188 HIJ393188 HSF393188 ICB393188 ILX393188 IVT393188 JFP393188 JPL393188 JZH393188 KJD393188 KSZ393188 LCV393188 LMR393188 LWN393188 MGJ393188 MQF393188 NAB393188 NJX393188 NTT393188 ODP393188 ONL393188 OXH393188 PHD393188 PQZ393188 QAV393188 QKR393188 QUN393188 REJ393188 ROF393188 RYB393188 SHX393188 SRT393188 TBP393188 TLL393188 TVH393188 UFD393188 UOZ393188 UYV393188 VIR393188 VSN393188 WCJ393188 WMF393188 WWB393188 JP458724 TL458724 ADH458724 AND458724 AWZ458724 BGV458724 BQR458724 CAN458724 CKJ458724 CUF458724 DEB458724 DNX458724 DXT458724 EHP458724 ERL458724 FBH458724 FLD458724 FUZ458724 GEV458724 GOR458724 GYN458724 HIJ458724 HSF458724 ICB458724 ILX458724 IVT458724 JFP458724 JPL458724 JZH458724 KJD458724 KSZ458724 LCV458724 LMR458724 LWN458724 MGJ458724 MQF458724 NAB458724 NJX458724 NTT458724 ODP458724 ONL458724 OXH458724 PHD458724 PQZ458724 QAV458724 QKR458724 QUN458724 REJ458724 ROF458724 RYB458724 SHX458724 SRT458724 TBP458724 TLL458724 TVH458724 UFD458724 UOZ458724 UYV458724 VIR458724 VSN458724 WCJ458724 WMF458724 WWB458724 JP524260 TL524260 ADH524260 AND524260 AWZ524260 BGV524260 BQR524260 CAN524260 CKJ524260 CUF524260 DEB524260 DNX524260 DXT524260 EHP524260 ERL524260 FBH524260 FLD524260 FUZ524260 GEV524260 GOR524260 GYN524260 HIJ524260 HSF524260 ICB524260 ILX524260 IVT524260 JFP524260 JPL524260 JZH524260 KJD524260 KSZ524260 LCV524260 LMR524260 LWN524260 MGJ524260 MQF524260 NAB524260 NJX524260 NTT524260 ODP524260 ONL524260 OXH524260 PHD524260 PQZ524260 QAV524260 QKR524260 QUN524260 REJ524260 ROF524260 RYB524260 SHX524260 SRT524260 TBP524260 TLL524260 TVH524260 UFD524260 UOZ524260 UYV524260 VIR524260 VSN524260 WCJ524260 WMF524260 WWB524260 JP589796 TL589796 ADH589796 AND589796 AWZ589796 BGV589796 BQR589796 CAN589796 CKJ589796 CUF589796 DEB589796 DNX589796 DXT589796 EHP589796 ERL589796 FBH589796 FLD589796 FUZ589796 GEV589796 GOR589796 GYN589796 HIJ589796 HSF589796 ICB589796 ILX589796 IVT589796 JFP589796 JPL589796 JZH589796 KJD589796 KSZ589796 LCV589796 LMR589796 LWN589796 MGJ589796 MQF589796 NAB589796 NJX589796 NTT589796 ODP589796 ONL589796 OXH589796 PHD589796 PQZ589796 QAV589796 QKR589796 QUN589796 REJ589796 ROF589796 RYB589796 SHX589796 SRT589796 TBP589796 TLL589796 TVH589796 UFD589796 UOZ589796 UYV589796 VIR589796 VSN589796 WCJ589796 WMF589796 WWB589796 JP655332 TL655332 ADH655332 AND655332 AWZ655332 BGV655332 BQR655332 CAN655332 CKJ655332 CUF655332 DEB655332 DNX655332 DXT655332 EHP655332 ERL655332 FBH655332 FLD655332 FUZ655332 GEV655332 GOR655332 GYN655332 HIJ655332 HSF655332 ICB655332 ILX655332 IVT655332 JFP655332 JPL655332 JZH655332 KJD655332 KSZ655332 LCV655332 LMR655332 LWN655332 MGJ655332 MQF655332 NAB655332 NJX655332 NTT655332 ODP655332 ONL655332 OXH655332 PHD655332 PQZ655332 QAV655332 QKR655332 QUN655332 REJ655332 ROF655332 RYB655332 SHX655332 SRT655332 TBP655332 TLL655332 TVH655332 UFD655332 UOZ655332 UYV655332 VIR655332 VSN655332 WCJ655332 WMF655332 WWB655332 JP720868 TL720868 ADH720868 AND720868 AWZ720868 BGV720868 BQR720868 CAN720868 CKJ720868 CUF720868 DEB720868 DNX720868 DXT720868 EHP720868 ERL720868 FBH720868 FLD720868 FUZ720868 GEV720868 GOR720868 GYN720868 HIJ720868 HSF720868 ICB720868 ILX720868 IVT720868 JFP720868 JPL720868 JZH720868 KJD720868 KSZ720868 LCV720868 LMR720868 LWN720868 MGJ720868 MQF720868 NAB720868 NJX720868 NTT720868 ODP720868 ONL720868 OXH720868 PHD720868 PQZ720868 QAV720868 QKR720868 QUN720868 REJ720868 ROF720868 RYB720868 SHX720868 SRT720868 TBP720868 TLL720868 TVH720868 UFD720868 UOZ720868 UYV720868 VIR720868 VSN720868 WCJ720868 WMF720868 WWB720868 JP786404 TL786404 ADH786404 AND786404 AWZ786404 BGV786404 BQR786404 CAN786404 CKJ786404 CUF786404 DEB786404 DNX786404 DXT786404 EHP786404 ERL786404 FBH786404 FLD786404 FUZ786404 GEV786404 GOR786404 GYN786404 HIJ786404 HSF786404 ICB786404 ILX786404 IVT786404 JFP786404 JPL786404 JZH786404 KJD786404 KSZ786404 LCV786404 LMR786404 LWN786404 MGJ786404 MQF786404 NAB786404 NJX786404 NTT786404 ODP786404 ONL786404 OXH786404 PHD786404 PQZ786404 QAV786404 QKR786404 QUN786404 REJ786404 ROF786404 RYB786404 SHX786404 SRT786404 TBP786404 TLL786404 TVH786404 UFD786404 UOZ786404 UYV786404 VIR786404 VSN786404 WCJ786404 WMF786404 WWB786404 JP851940 TL851940 ADH851940 AND851940 AWZ851940 BGV851940 BQR851940 CAN851940 CKJ851940 CUF851940 DEB851940 DNX851940 DXT851940 EHP851940 ERL851940 FBH851940 FLD851940 FUZ851940 GEV851940 GOR851940 GYN851940 HIJ851940 HSF851940 ICB851940 ILX851940 IVT851940 JFP851940 JPL851940 JZH851940 KJD851940 KSZ851940 LCV851940 LMR851940 LWN851940 MGJ851940 MQF851940 NAB851940 NJX851940 NTT851940 ODP851940 ONL851940 OXH851940 PHD851940 PQZ851940 QAV851940 QKR851940 QUN851940 REJ851940 ROF851940 RYB851940 SHX851940 SRT851940 TBP851940 TLL851940 TVH851940 UFD851940 UOZ851940 UYV851940 VIR851940 VSN851940 WCJ851940 WMF851940 WWB851940 JP917476 TL917476 ADH917476 AND917476 AWZ917476 BGV917476 BQR917476 CAN917476 CKJ917476 CUF917476 DEB917476 DNX917476 DXT917476 EHP917476 ERL917476 FBH917476 FLD917476 FUZ917476 GEV917476 GOR917476 GYN917476 HIJ917476 HSF917476 ICB917476 ILX917476 IVT917476 JFP917476 JPL917476 JZH917476 KJD917476 KSZ917476 LCV917476 LMR917476 LWN917476 MGJ917476 MQF917476 NAB917476 NJX917476 NTT917476 ODP917476 ONL917476 OXH917476 PHD917476 PQZ917476 QAV917476 QKR917476 QUN917476 REJ917476 ROF917476 RYB917476 SHX917476 SRT917476 TBP917476 TLL917476 TVH917476 UFD917476 UOZ917476 UYV917476 VIR917476 VSN917476 WCJ917476 WMF917476 WWB917476 JP983012 TL983012 ADH983012 AND983012 AWZ983012 BGV983012 BQR983012 CAN983012 CKJ983012 CUF983012 DEB983012 DNX983012 DXT983012 EHP983012 ERL983012 FBH983012 FLD983012 FUZ983012 GEV983012 GOR983012 GYN983012 HIJ983012 HSF983012 ICB983012 ILX983012 IVT983012 JFP983012 JPL983012 JZH983012 KJD983012 KSZ983012 LCV983012 LMR983012 LWN983012 MGJ983012 MQF983012 NAB983012 NJX983012 NTT983012 ODP983012 ONL983012 OXH983012 PHD983012 PQZ983012 QAV983012 QKR983012 QUN983012 REJ983012 ROF983012 RYB983012 SHX983012 SRT983012 TBP983012 TLL983012 TVH983012 UFD983012 UOZ983012 UYV983012 VIR983012 VSN983012 WCJ983012 WMF983012 WWB983012"/>
  </dataValidations>
  <hyperlinks>
    <hyperlink ref="C8" location="Overview!A1" display="Overview"/>
    <hyperlink ref="C7" location="'General Notes'!A1" display="General Notes"/>
    <hyperlink ref="C16:G16" location="Results!A1" display="Results"/>
    <hyperlink ref="C16:W16" location="Results!A1" display="Results (Detailed)"/>
    <hyperlink ref="C5" location="Overview!A1" display="Overview"/>
    <hyperlink ref="C5:W5" location="'Cover Sheet'!A1" display="Cover Sheet"/>
    <hyperlink ref="C10:W10" location="'Summary of Results'!A1" display="Summary of Results"/>
    <hyperlink ref="C11" location="OPEX!A1" display="OPEX"/>
    <hyperlink ref="C12" location="'Operational Expenditure'!A1" display="Operational Expenditure"/>
    <hyperlink ref="C13" location="Sensitivity!A1" display="Sensitivity Testing"/>
    <hyperlink ref="C12:G12" location="Results!A1" display="Results"/>
    <hyperlink ref="C13:G13" location="NAR!A1" display="National Average Rates"/>
    <hyperlink ref="C7:W7" location="Notes!A1" display="General Notes"/>
    <hyperlink ref="C9:W9" location="'Balance Scorecard'!A1" display="Balance Scorecard"/>
    <hyperlink ref="C11:W11" location="'Scheme Entry - Baseline'!A1" display="Scheme Entry - Baseline"/>
    <hyperlink ref="C12:W12" location="'Capital Expenditure'!A1" display="Capital Expenditure"/>
    <hyperlink ref="C13:W13" location="'Operational Expenditure'!A1" display="Operational Expenditure"/>
    <hyperlink ref="C14:G14" location="Results!A1" display="Results"/>
    <hyperlink ref="C14:W14" location="Index!A1" display="CAPEX and OPEX Sensitivity Testing 1"/>
    <hyperlink ref="C15:G15" location="Notes!A1" display="General Notes"/>
    <hyperlink ref="C15:W15" location="'Sensitivity 2'!A1" display="CAPEX and OPEX Sensitivity Testing 2"/>
    <hyperlink ref="C14" location="'Sensitivity 1'!A1" display="CAPEX and OPEX Sensitivity Testing 1"/>
    <hyperlink ref="C17:G17" location="Results!A1" display="Results"/>
    <hyperlink ref="C17:W17" location="'Results Historical Accident'!A1" display="Results - Historical Accident Rates (Detailed)"/>
    <hyperlink ref="C18:G18" location="Results!A1" display="Results (Detailed)"/>
    <hyperlink ref="C19:G19" location="Overview!A1" display="Overview"/>
    <hyperlink ref="C22:G22" location="'Cover Sheet'!A1" display="Cover Sheet"/>
    <hyperlink ref="C18:W18" location="'Lighting Data'!A1" display="Lighting Data"/>
    <hyperlink ref="C19:W19" location="'Energy Calculations'!A1" display="Energy Calculations"/>
    <hyperlink ref="C20:W20" location="'Energy Sensitivy 1'!A1" display="Energy Sensitivity Testing 1"/>
    <hyperlink ref="C21:W21" location="'Energy Sensitivy 2'!A1" display="Energy Sensitivity Testing 2"/>
    <hyperlink ref="C22:W22" location="'Burn Profiles'!A1" display="Burn Profiles"/>
    <hyperlink ref="C23:W23" location="'Burn Pro Sen 1'!A1" display="Burn Profiles Sensitivity Testing 1"/>
    <hyperlink ref="C24:W24" location="'Burn Pro Sen 2'!A1" display="Burn Profiles Sensitivity Testing 2"/>
    <hyperlink ref="C25:W25" location="'NTpM Adjustment by Region'!A1" display="Travel Demand Projections"/>
    <hyperlink ref="C26:W26" location="'NtpM Capitalisation'!A1" display="Capitalisation Adjustment Factors"/>
    <hyperlink ref="C27:W27" location="'Reference Tables'!A1" display="Reference Tables"/>
    <hyperlink ref="C28:W28" location="'National Accident Rate'!A1" display="Mainline National Accident Rate"/>
    <hyperlink ref="C29:W29" location="'Average Accidents Costs'!A1" display="National Average Value of Accidents for All-Day and Night Time"/>
    <hyperlink ref="C30:W30" location="'PAG 6.11 Tables Extract'!A1" display=" National Roads Unit 6.11 - National Parameters"/>
  </hyperlinks>
  <pageMargins left="0.7" right="0.7" top="0.75" bottom="0.75" header="0.3" footer="0.3"/>
  <pageSetup paperSize="9" orientation="landscape" r:id="rId1"/>
  <headerFooter>
    <oddHeader>&amp;L&amp;"Arial,Regular"TII Publications
Design of Road Lighting for the National Road Network&amp;R&amp;"Arial,Regular"DN-LHT-03038
July 2018</oddHeader>
    <oddFooter>&amp;L&amp;"Arial,Regular"Lighting Evaluation Tool &amp; Justification for Lighting the Mainline
Appendix B1&amp;R&amp;"Arial,Regular"&amp;A
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0"/>
  <sheetViews>
    <sheetView view="pageLayout" topLeftCell="A87" zoomScale="80" zoomScaleNormal="100" zoomScalePageLayoutView="80" workbookViewId="0">
      <selection activeCell="J118" sqref="J118:L119"/>
    </sheetView>
  </sheetViews>
  <sheetFormatPr defaultRowHeight="15" customHeight="1" x14ac:dyDescent="0.3"/>
  <cols>
    <col min="1" max="1" width="2.6640625" style="2" customWidth="1"/>
    <col min="2" max="6" width="5.33203125" style="2" customWidth="1"/>
    <col min="7" max="7" width="4.6640625" style="2" customWidth="1"/>
    <col min="8" max="24" width="5.33203125" style="2" customWidth="1"/>
    <col min="25" max="25" width="14.5546875" style="2" customWidth="1"/>
    <col min="26" max="26" width="2.6640625" style="2" customWidth="1"/>
    <col min="27" max="30" width="7.6640625" style="2" customWidth="1"/>
    <col min="31" max="31" width="8.44140625" style="2" bestFit="1" customWidth="1"/>
    <col min="32" max="276" width="7.6640625" style="2" customWidth="1"/>
    <col min="277" max="277" width="14.33203125" style="2" customWidth="1"/>
    <col min="278" max="278" width="4" style="2" customWidth="1"/>
    <col min="279" max="279" width="14.33203125" style="2" customWidth="1"/>
    <col min="280" max="280" width="4" style="2" customWidth="1"/>
    <col min="281" max="532" width="7.6640625" style="2" customWidth="1"/>
    <col min="533" max="533" width="14.33203125" style="2" customWidth="1"/>
    <col min="534" max="534" width="4" style="2" customWidth="1"/>
    <col min="535" max="535" width="14.33203125" style="2" customWidth="1"/>
    <col min="536" max="536" width="4" style="2" customWidth="1"/>
    <col min="537" max="788" width="7.6640625" style="2" customWidth="1"/>
    <col min="789" max="789" width="14.33203125" style="2" customWidth="1"/>
    <col min="790" max="790" width="4" style="2" customWidth="1"/>
    <col min="791" max="791" width="14.33203125" style="2" customWidth="1"/>
    <col min="792" max="792" width="4" style="2" customWidth="1"/>
    <col min="793" max="1044" width="7.6640625" style="2" customWidth="1"/>
    <col min="1045" max="1045" width="14.33203125" style="2" customWidth="1"/>
    <col min="1046" max="1046" width="4" style="2" customWidth="1"/>
    <col min="1047" max="1047" width="14.33203125" style="2" customWidth="1"/>
    <col min="1048" max="1048" width="4" style="2" customWidth="1"/>
    <col min="1049" max="1300" width="7.6640625" style="2" customWidth="1"/>
    <col min="1301" max="1301" width="14.33203125" style="2" customWidth="1"/>
    <col min="1302" max="1302" width="4" style="2" customWidth="1"/>
    <col min="1303" max="1303" width="14.33203125" style="2" customWidth="1"/>
    <col min="1304" max="1304" width="4" style="2" customWidth="1"/>
    <col min="1305" max="1556" width="7.6640625" style="2" customWidth="1"/>
    <col min="1557" max="1557" width="14.33203125" style="2" customWidth="1"/>
    <col min="1558" max="1558" width="4" style="2" customWidth="1"/>
    <col min="1559" max="1559" width="14.33203125" style="2" customWidth="1"/>
    <col min="1560" max="1560" width="4" style="2" customWidth="1"/>
    <col min="1561" max="1812" width="7.6640625" style="2" customWidth="1"/>
    <col min="1813" max="1813" width="14.33203125" style="2" customWidth="1"/>
    <col min="1814" max="1814" width="4" style="2" customWidth="1"/>
    <col min="1815" max="1815" width="14.33203125" style="2" customWidth="1"/>
    <col min="1816" max="1816" width="4" style="2" customWidth="1"/>
    <col min="1817" max="2068" width="7.6640625" style="2" customWidth="1"/>
    <col min="2069" max="2069" width="14.33203125" style="2" customWidth="1"/>
    <col min="2070" max="2070" width="4" style="2" customWidth="1"/>
    <col min="2071" max="2071" width="14.33203125" style="2" customWidth="1"/>
    <col min="2072" max="2072" width="4" style="2" customWidth="1"/>
    <col min="2073" max="2324" width="7.6640625" style="2" customWidth="1"/>
    <col min="2325" max="2325" width="14.33203125" style="2" customWidth="1"/>
    <col min="2326" max="2326" width="4" style="2" customWidth="1"/>
    <col min="2327" max="2327" width="14.33203125" style="2" customWidth="1"/>
    <col min="2328" max="2328" width="4" style="2" customWidth="1"/>
    <col min="2329" max="2580" width="7.6640625" style="2" customWidth="1"/>
    <col min="2581" max="2581" width="14.33203125" style="2" customWidth="1"/>
    <col min="2582" max="2582" width="4" style="2" customWidth="1"/>
    <col min="2583" max="2583" width="14.33203125" style="2" customWidth="1"/>
    <col min="2584" max="2584" width="4" style="2" customWidth="1"/>
    <col min="2585" max="2836" width="7.6640625" style="2" customWidth="1"/>
    <col min="2837" max="2837" width="14.33203125" style="2" customWidth="1"/>
    <col min="2838" max="2838" width="4" style="2" customWidth="1"/>
    <col min="2839" max="2839" width="14.33203125" style="2" customWidth="1"/>
    <col min="2840" max="2840" width="4" style="2" customWidth="1"/>
    <col min="2841" max="3092" width="7.6640625" style="2" customWidth="1"/>
    <col min="3093" max="3093" width="14.33203125" style="2" customWidth="1"/>
    <col min="3094" max="3094" width="4" style="2" customWidth="1"/>
    <col min="3095" max="3095" width="14.33203125" style="2" customWidth="1"/>
    <col min="3096" max="3096" width="4" style="2" customWidth="1"/>
    <col min="3097" max="3348" width="7.6640625" style="2" customWidth="1"/>
    <col min="3349" max="3349" width="14.33203125" style="2" customWidth="1"/>
    <col min="3350" max="3350" width="4" style="2" customWidth="1"/>
    <col min="3351" max="3351" width="14.33203125" style="2" customWidth="1"/>
    <col min="3352" max="3352" width="4" style="2" customWidth="1"/>
    <col min="3353" max="3604" width="7.6640625" style="2" customWidth="1"/>
    <col min="3605" max="3605" width="14.33203125" style="2" customWidth="1"/>
    <col min="3606" max="3606" width="4" style="2" customWidth="1"/>
    <col min="3607" max="3607" width="14.33203125" style="2" customWidth="1"/>
    <col min="3608" max="3608" width="4" style="2" customWidth="1"/>
    <col min="3609" max="3860" width="7.6640625" style="2" customWidth="1"/>
    <col min="3861" max="3861" width="14.33203125" style="2" customWidth="1"/>
    <col min="3862" max="3862" width="4" style="2" customWidth="1"/>
    <col min="3863" max="3863" width="14.33203125" style="2" customWidth="1"/>
    <col min="3864" max="3864" width="4" style="2" customWidth="1"/>
    <col min="3865" max="4116" width="7.6640625" style="2" customWidth="1"/>
    <col min="4117" max="4117" width="14.33203125" style="2" customWidth="1"/>
    <col min="4118" max="4118" width="4" style="2" customWidth="1"/>
    <col min="4119" max="4119" width="14.33203125" style="2" customWidth="1"/>
    <col min="4120" max="4120" width="4" style="2" customWidth="1"/>
    <col min="4121" max="4372" width="7.6640625" style="2" customWidth="1"/>
    <col min="4373" max="4373" width="14.33203125" style="2" customWidth="1"/>
    <col min="4374" max="4374" width="4" style="2" customWidth="1"/>
    <col min="4375" max="4375" width="14.33203125" style="2" customWidth="1"/>
    <col min="4376" max="4376" width="4" style="2" customWidth="1"/>
    <col min="4377" max="4628" width="7.6640625" style="2" customWidth="1"/>
    <col min="4629" max="4629" width="14.33203125" style="2" customWidth="1"/>
    <col min="4630" max="4630" width="4" style="2" customWidth="1"/>
    <col min="4631" max="4631" width="14.33203125" style="2" customWidth="1"/>
    <col min="4632" max="4632" width="4" style="2" customWidth="1"/>
    <col min="4633" max="4884" width="7.6640625" style="2" customWidth="1"/>
    <col min="4885" max="4885" width="14.33203125" style="2" customWidth="1"/>
    <col min="4886" max="4886" width="4" style="2" customWidth="1"/>
    <col min="4887" max="4887" width="14.33203125" style="2" customWidth="1"/>
    <col min="4888" max="4888" width="4" style="2" customWidth="1"/>
    <col min="4889" max="5140" width="7.6640625" style="2" customWidth="1"/>
    <col min="5141" max="5141" width="14.33203125" style="2" customWidth="1"/>
    <col min="5142" max="5142" width="4" style="2" customWidth="1"/>
    <col min="5143" max="5143" width="14.33203125" style="2" customWidth="1"/>
    <col min="5144" max="5144" width="4" style="2" customWidth="1"/>
    <col min="5145" max="5396" width="7.6640625" style="2" customWidth="1"/>
    <col min="5397" max="5397" width="14.33203125" style="2" customWidth="1"/>
    <col min="5398" max="5398" width="4" style="2" customWidth="1"/>
    <col min="5399" max="5399" width="14.33203125" style="2" customWidth="1"/>
    <col min="5400" max="5400" width="4" style="2" customWidth="1"/>
    <col min="5401" max="5652" width="7.6640625" style="2" customWidth="1"/>
    <col min="5653" max="5653" width="14.33203125" style="2" customWidth="1"/>
    <col min="5654" max="5654" width="4" style="2" customWidth="1"/>
    <col min="5655" max="5655" width="14.33203125" style="2" customWidth="1"/>
    <col min="5656" max="5656" width="4" style="2" customWidth="1"/>
    <col min="5657" max="5908" width="7.6640625" style="2" customWidth="1"/>
    <col min="5909" max="5909" width="14.33203125" style="2" customWidth="1"/>
    <col min="5910" max="5910" width="4" style="2" customWidth="1"/>
    <col min="5911" max="5911" width="14.33203125" style="2" customWidth="1"/>
    <col min="5912" max="5912" width="4" style="2" customWidth="1"/>
    <col min="5913" max="6164" width="7.6640625" style="2" customWidth="1"/>
    <col min="6165" max="6165" width="14.33203125" style="2" customWidth="1"/>
    <col min="6166" max="6166" width="4" style="2" customWidth="1"/>
    <col min="6167" max="6167" width="14.33203125" style="2" customWidth="1"/>
    <col min="6168" max="6168" width="4" style="2" customWidth="1"/>
    <col min="6169" max="6420" width="7.6640625" style="2" customWidth="1"/>
    <col min="6421" max="6421" width="14.33203125" style="2" customWidth="1"/>
    <col min="6422" max="6422" width="4" style="2" customWidth="1"/>
    <col min="6423" max="6423" width="14.33203125" style="2" customWidth="1"/>
    <col min="6424" max="6424" width="4" style="2" customWidth="1"/>
    <col min="6425" max="6676" width="7.6640625" style="2" customWidth="1"/>
    <col min="6677" max="6677" width="14.33203125" style="2" customWidth="1"/>
    <col min="6678" max="6678" width="4" style="2" customWidth="1"/>
    <col min="6679" max="6679" width="14.33203125" style="2" customWidth="1"/>
    <col min="6680" max="6680" width="4" style="2" customWidth="1"/>
    <col min="6681" max="6932" width="7.6640625" style="2" customWidth="1"/>
    <col min="6933" max="6933" width="14.33203125" style="2" customWidth="1"/>
    <col min="6934" max="6934" width="4" style="2" customWidth="1"/>
    <col min="6935" max="6935" width="14.33203125" style="2" customWidth="1"/>
    <col min="6936" max="6936" width="4" style="2" customWidth="1"/>
    <col min="6937" max="7188" width="7.6640625" style="2" customWidth="1"/>
    <col min="7189" max="7189" width="14.33203125" style="2" customWidth="1"/>
    <col min="7190" max="7190" width="4" style="2" customWidth="1"/>
    <col min="7191" max="7191" width="14.33203125" style="2" customWidth="1"/>
    <col min="7192" max="7192" width="4" style="2" customWidth="1"/>
    <col min="7193" max="7444" width="7.6640625" style="2" customWidth="1"/>
    <col min="7445" max="7445" width="14.33203125" style="2" customWidth="1"/>
    <col min="7446" max="7446" width="4" style="2" customWidth="1"/>
    <col min="7447" max="7447" width="14.33203125" style="2" customWidth="1"/>
    <col min="7448" max="7448" width="4" style="2" customWidth="1"/>
    <col min="7449" max="7700" width="7.6640625" style="2" customWidth="1"/>
    <col min="7701" max="7701" width="14.33203125" style="2" customWidth="1"/>
    <col min="7702" max="7702" width="4" style="2" customWidth="1"/>
    <col min="7703" max="7703" width="14.33203125" style="2" customWidth="1"/>
    <col min="7704" max="7704" width="4" style="2" customWidth="1"/>
    <col min="7705" max="7956" width="7.6640625" style="2" customWidth="1"/>
    <col min="7957" max="7957" width="14.33203125" style="2" customWidth="1"/>
    <col min="7958" max="7958" width="4" style="2" customWidth="1"/>
    <col min="7959" max="7959" width="14.33203125" style="2" customWidth="1"/>
    <col min="7960" max="7960" width="4" style="2" customWidth="1"/>
    <col min="7961" max="8212" width="7.6640625" style="2" customWidth="1"/>
    <col min="8213" max="8213" width="14.33203125" style="2" customWidth="1"/>
    <col min="8214" max="8214" width="4" style="2" customWidth="1"/>
    <col min="8215" max="8215" width="14.33203125" style="2" customWidth="1"/>
    <col min="8216" max="8216" width="4" style="2" customWidth="1"/>
    <col min="8217" max="8468" width="7.6640625" style="2" customWidth="1"/>
    <col min="8469" max="8469" width="14.33203125" style="2" customWidth="1"/>
    <col min="8470" max="8470" width="4" style="2" customWidth="1"/>
    <col min="8471" max="8471" width="14.33203125" style="2" customWidth="1"/>
    <col min="8472" max="8472" width="4" style="2" customWidth="1"/>
    <col min="8473" max="8724" width="7.6640625" style="2" customWidth="1"/>
    <col min="8725" max="8725" width="14.33203125" style="2" customWidth="1"/>
    <col min="8726" max="8726" width="4" style="2" customWidth="1"/>
    <col min="8727" max="8727" width="14.33203125" style="2" customWidth="1"/>
    <col min="8728" max="8728" width="4" style="2" customWidth="1"/>
    <col min="8729" max="8980" width="7.6640625" style="2" customWidth="1"/>
    <col min="8981" max="8981" width="14.33203125" style="2" customWidth="1"/>
    <col min="8982" max="8982" width="4" style="2" customWidth="1"/>
    <col min="8983" max="8983" width="14.33203125" style="2" customWidth="1"/>
    <col min="8984" max="8984" width="4" style="2" customWidth="1"/>
    <col min="8985" max="9236" width="7.6640625" style="2" customWidth="1"/>
    <col min="9237" max="9237" width="14.33203125" style="2" customWidth="1"/>
    <col min="9238" max="9238" width="4" style="2" customWidth="1"/>
    <col min="9239" max="9239" width="14.33203125" style="2" customWidth="1"/>
    <col min="9240" max="9240" width="4" style="2" customWidth="1"/>
    <col min="9241" max="9492" width="7.6640625" style="2" customWidth="1"/>
    <col min="9493" max="9493" width="14.33203125" style="2" customWidth="1"/>
    <col min="9494" max="9494" width="4" style="2" customWidth="1"/>
    <col min="9495" max="9495" width="14.33203125" style="2" customWidth="1"/>
    <col min="9496" max="9496" width="4" style="2" customWidth="1"/>
    <col min="9497" max="9748" width="7.6640625" style="2" customWidth="1"/>
    <col min="9749" max="9749" width="14.33203125" style="2" customWidth="1"/>
    <col min="9750" max="9750" width="4" style="2" customWidth="1"/>
    <col min="9751" max="9751" width="14.33203125" style="2" customWidth="1"/>
    <col min="9752" max="9752" width="4" style="2" customWidth="1"/>
    <col min="9753" max="10004" width="7.6640625" style="2" customWidth="1"/>
    <col min="10005" max="10005" width="14.33203125" style="2" customWidth="1"/>
    <col min="10006" max="10006" width="4" style="2" customWidth="1"/>
    <col min="10007" max="10007" width="14.33203125" style="2" customWidth="1"/>
    <col min="10008" max="10008" width="4" style="2" customWidth="1"/>
    <col min="10009" max="10260" width="7.6640625" style="2" customWidth="1"/>
    <col min="10261" max="10261" width="14.33203125" style="2" customWidth="1"/>
    <col min="10262" max="10262" width="4" style="2" customWidth="1"/>
    <col min="10263" max="10263" width="14.33203125" style="2" customWidth="1"/>
    <col min="10264" max="10264" width="4" style="2" customWidth="1"/>
    <col min="10265" max="10516" width="7.6640625" style="2" customWidth="1"/>
    <col min="10517" max="10517" width="14.33203125" style="2" customWidth="1"/>
    <col min="10518" max="10518" width="4" style="2" customWidth="1"/>
    <col min="10519" max="10519" width="14.33203125" style="2" customWidth="1"/>
    <col min="10520" max="10520" width="4" style="2" customWidth="1"/>
    <col min="10521" max="10772" width="7.6640625" style="2" customWidth="1"/>
    <col min="10773" max="10773" width="14.33203125" style="2" customWidth="1"/>
    <col min="10774" max="10774" width="4" style="2" customWidth="1"/>
    <col min="10775" max="10775" width="14.33203125" style="2" customWidth="1"/>
    <col min="10776" max="10776" width="4" style="2" customWidth="1"/>
    <col min="10777" max="11028" width="7.6640625" style="2" customWidth="1"/>
    <col min="11029" max="11029" width="14.33203125" style="2" customWidth="1"/>
    <col min="11030" max="11030" width="4" style="2" customWidth="1"/>
    <col min="11031" max="11031" width="14.33203125" style="2" customWidth="1"/>
    <col min="11032" max="11032" width="4" style="2" customWidth="1"/>
    <col min="11033" max="11284" width="7.6640625" style="2" customWidth="1"/>
    <col min="11285" max="11285" width="14.33203125" style="2" customWidth="1"/>
    <col min="11286" max="11286" width="4" style="2" customWidth="1"/>
    <col min="11287" max="11287" width="14.33203125" style="2" customWidth="1"/>
    <col min="11288" max="11288" width="4" style="2" customWidth="1"/>
    <col min="11289" max="11540" width="7.6640625" style="2" customWidth="1"/>
    <col min="11541" max="11541" width="14.33203125" style="2" customWidth="1"/>
    <col min="11542" max="11542" width="4" style="2" customWidth="1"/>
    <col min="11543" max="11543" width="14.33203125" style="2" customWidth="1"/>
    <col min="11544" max="11544" width="4" style="2" customWidth="1"/>
    <col min="11545" max="11796" width="7.6640625" style="2" customWidth="1"/>
    <col min="11797" max="11797" width="14.33203125" style="2" customWidth="1"/>
    <col min="11798" max="11798" width="4" style="2" customWidth="1"/>
    <col min="11799" max="11799" width="14.33203125" style="2" customWidth="1"/>
    <col min="11800" max="11800" width="4" style="2" customWidth="1"/>
    <col min="11801" max="12052" width="7.6640625" style="2" customWidth="1"/>
    <col min="12053" max="12053" width="14.33203125" style="2" customWidth="1"/>
    <col min="12054" max="12054" width="4" style="2" customWidth="1"/>
    <col min="12055" max="12055" width="14.33203125" style="2" customWidth="1"/>
    <col min="12056" max="12056" width="4" style="2" customWidth="1"/>
    <col min="12057" max="12308" width="7.6640625" style="2" customWidth="1"/>
    <col min="12309" max="12309" width="14.33203125" style="2" customWidth="1"/>
    <col min="12310" max="12310" width="4" style="2" customWidth="1"/>
    <col min="12311" max="12311" width="14.33203125" style="2" customWidth="1"/>
    <col min="12312" max="12312" width="4" style="2" customWidth="1"/>
    <col min="12313" max="12564" width="7.6640625" style="2" customWidth="1"/>
    <col min="12565" max="12565" width="14.33203125" style="2" customWidth="1"/>
    <col min="12566" max="12566" width="4" style="2" customWidth="1"/>
    <col min="12567" max="12567" width="14.33203125" style="2" customWidth="1"/>
    <col min="12568" max="12568" width="4" style="2" customWidth="1"/>
    <col min="12569" max="12820" width="7.6640625" style="2" customWidth="1"/>
    <col min="12821" max="12821" width="14.33203125" style="2" customWidth="1"/>
    <col min="12822" max="12822" width="4" style="2" customWidth="1"/>
    <col min="12823" max="12823" width="14.33203125" style="2" customWidth="1"/>
    <col min="12824" max="12824" width="4" style="2" customWidth="1"/>
    <col min="12825" max="13076" width="7.6640625" style="2" customWidth="1"/>
    <col min="13077" max="13077" width="14.33203125" style="2" customWidth="1"/>
    <col min="13078" max="13078" width="4" style="2" customWidth="1"/>
    <col min="13079" max="13079" width="14.33203125" style="2" customWidth="1"/>
    <col min="13080" max="13080" width="4" style="2" customWidth="1"/>
    <col min="13081" max="13332" width="7.6640625" style="2" customWidth="1"/>
    <col min="13333" max="13333" width="14.33203125" style="2" customWidth="1"/>
    <col min="13334" max="13334" width="4" style="2" customWidth="1"/>
    <col min="13335" max="13335" width="14.33203125" style="2" customWidth="1"/>
    <col min="13336" max="13336" width="4" style="2" customWidth="1"/>
    <col min="13337" max="13588" width="7.6640625" style="2" customWidth="1"/>
    <col min="13589" max="13589" width="14.33203125" style="2" customWidth="1"/>
    <col min="13590" max="13590" width="4" style="2" customWidth="1"/>
    <col min="13591" max="13591" width="14.33203125" style="2" customWidth="1"/>
    <col min="13592" max="13592" width="4" style="2" customWidth="1"/>
    <col min="13593" max="13844" width="7.6640625" style="2" customWidth="1"/>
    <col min="13845" max="13845" width="14.33203125" style="2" customWidth="1"/>
    <col min="13846" max="13846" width="4" style="2" customWidth="1"/>
    <col min="13847" max="13847" width="14.33203125" style="2" customWidth="1"/>
    <col min="13848" max="13848" width="4" style="2" customWidth="1"/>
    <col min="13849" max="14100" width="7.6640625" style="2" customWidth="1"/>
    <col min="14101" max="14101" width="14.33203125" style="2" customWidth="1"/>
    <col min="14102" max="14102" width="4" style="2" customWidth="1"/>
    <col min="14103" max="14103" width="14.33203125" style="2" customWidth="1"/>
    <col min="14104" max="14104" width="4" style="2" customWidth="1"/>
    <col min="14105" max="14356" width="7.6640625" style="2" customWidth="1"/>
    <col min="14357" max="14357" width="14.33203125" style="2" customWidth="1"/>
    <col min="14358" max="14358" width="4" style="2" customWidth="1"/>
    <col min="14359" max="14359" width="14.33203125" style="2" customWidth="1"/>
    <col min="14360" max="14360" width="4" style="2" customWidth="1"/>
    <col min="14361" max="14612" width="7.6640625" style="2" customWidth="1"/>
    <col min="14613" max="14613" width="14.33203125" style="2" customWidth="1"/>
    <col min="14614" max="14614" width="4" style="2" customWidth="1"/>
    <col min="14615" max="14615" width="14.33203125" style="2" customWidth="1"/>
    <col min="14616" max="14616" width="4" style="2" customWidth="1"/>
    <col min="14617" max="14868" width="7.6640625" style="2" customWidth="1"/>
    <col min="14869" max="14869" width="14.33203125" style="2" customWidth="1"/>
    <col min="14870" max="14870" width="4" style="2" customWidth="1"/>
    <col min="14871" max="14871" width="14.33203125" style="2" customWidth="1"/>
    <col min="14872" max="14872" width="4" style="2" customWidth="1"/>
    <col min="14873" max="15124" width="7.6640625" style="2" customWidth="1"/>
    <col min="15125" max="15125" width="14.33203125" style="2" customWidth="1"/>
    <col min="15126" max="15126" width="4" style="2" customWidth="1"/>
    <col min="15127" max="15127" width="14.33203125" style="2" customWidth="1"/>
    <col min="15128" max="15128" width="4" style="2" customWidth="1"/>
    <col min="15129" max="15380" width="7.6640625" style="2" customWidth="1"/>
    <col min="15381" max="15381" width="14.33203125" style="2" customWidth="1"/>
    <col min="15382" max="15382" width="4" style="2" customWidth="1"/>
    <col min="15383" max="15383" width="14.33203125" style="2" customWidth="1"/>
    <col min="15384" max="15384" width="4" style="2" customWidth="1"/>
    <col min="15385" max="15636" width="7.6640625" style="2" customWidth="1"/>
    <col min="15637" max="15637" width="14.33203125" style="2" customWidth="1"/>
    <col min="15638" max="15638" width="4" style="2" customWidth="1"/>
    <col min="15639" max="15639" width="14.33203125" style="2" customWidth="1"/>
    <col min="15640" max="15640" width="4" style="2" customWidth="1"/>
    <col min="15641" max="15892" width="7.6640625" style="2" customWidth="1"/>
    <col min="15893" max="15893" width="14.33203125" style="2" customWidth="1"/>
    <col min="15894" max="15894" width="4" style="2" customWidth="1"/>
    <col min="15895" max="15895" width="14.33203125" style="2" customWidth="1"/>
    <col min="15896" max="15896" width="4" style="2" customWidth="1"/>
    <col min="15897" max="16148" width="7.6640625" style="2" customWidth="1"/>
    <col min="16149" max="16149" width="14.33203125" style="2" customWidth="1"/>
    <col min="16150" max="16150" width="4" style="2" customWidth="1"/>
    <col min="16151" max="16151" width="14.33203125" style="2" customWidth="1"/>
    <col min="16152" max="16152" width="4" style="2" customWidth="1"/>
    <col min="16153" max="16384" width="7.6640625" style="2" customWidth="1"/>
  </cols>
  <sheetData>
    <row r="1" spans="1:31" ht="15" customHeight="1" x14ac:dyDescent="0.3">
      <c r="A1" s="85"/>
      <c r="B1" s="86"/>
      <c r="C1" s="86"/>
      <c r="D1" s="86"/>
      <c r="E1" s="86"/>
      <c r="F1" s="1"/>
      <c r="G1" s="1"/>
      <c r="H1" s="1"/>
      <c r="I1" s="1"/>
      <c r="J1" s="1"/>
      <c r="K1" s="1"/>
      <c r="L1" s="1"/>
      <c r="M1" s="1"/>
      <c r="N1" s="1"/>
      <c r="O1" s="1"/>
      <c r="P1" s="1"/>
      <c r="Q1" s="1"/>
      <c r="R1" s="1"/>
      <c r="S1" s="1"/>
      <c r="T1" s="1"/>
      <c r="U1" s="1"/>
      <c r="V1" s="1"/>
      <c r="W1" s="1"/>
      <c r="X1" s="1"/>
      <c r="Y1" s="1"/>
      <c r="Z1" s="1"/>
    </row>
    <row r="2" spans="1:31" ht="15" customHeight="1" x14ac:dyDescent="0.3">
      <c r="A2" s="737"/>
      <c r="B2" s="589" t="s">
        <v>84</v>
      </c>
      <c r="C2" s="722"/>
      <c r="D2" s="722"/>
      <c r="E2" s="722"/>
      <c r="F2" s="79"/>
      <c r="G2" s="79"/>
      <c r="H2" s="79"/>
      <c r="I2" s="79"/>
      <c r="J2" s="79"/>
      <c r="K2" s="79"/>
      <c r="L2" s="79"/>
      <c r="M2" s="79"/>
      <c r="N2" s="79"/>
      <c r="O2" s="79"/>
      <c r="P2" s="79"/>
      <c r="Q2" s="79"/>
      <c r="R2" s="79"/>
      <c r="S2" s="79"/>
      <c r="T2" s="79"/>
      <c r="U2" s="79"/>
      <c r="V2" s="79"/>
      <c r="W2" s="79"/>
      <c r="X2" s="79"/>
      <c r="Y2" s="79"/>
      <c r="Z2" s="79"/>
    </row>
    <row r="3" spans="1:31" ht="15" customHeight="1" x14ac:dyDescent="0.3">
      <c r="A3" s="3"/>
      <c r="B3" s="615" t="s">
        <v>449</v>
      </c>
      <c r="C3" s="10"/>
      <c r="D3" s="10"/>
      <c r="E3" s="10"/>
      <c r="F3" s="3"/>
      <c r="G3" s="3"/>
      <c r="H3" s="3"/>
      <c r="I3" s="3"/>
      <c r="J3" s="3"/>
      <c r="K3" s="3"/>
      <c r="L3" s="3"/>
      <c r="M3" s="3"/>
      <c r="N3" s="3"/>
      <c r="O3" s="3"/>
      <c r="P3" s="3"/>
      <c r="Q3" s="3"/>
      <c r="R3" s="3"/>
      <c r="S3" s="3"/>
      <c r="T3" s="3"/>
      <c r="U3" s="3"/>
      <c r="V3" s="3"/>
      <c r="W3" s="3"/>
      <c r="X3" s="3"/>
      <c r="Y3" s="3"/>
      <c r="Z3" s="3"/>
      <c r="AD3" s="16"/>
      <c r="AE3" s="16"/>
    </row>
    <row r="4" spans="1:31" ht="15" customHeight="1" x14ac:dyDescent="0.3">
      <c r="A4" s="3"/>
      <c r="B4" s="594" t="str">
        <f>Overview!$B$7</f>
        <v>Grove Park Drive</v>
      </c>
      <c r="C4" s="3"/>
      <c r="D4" s="3"/>
      <c r="E4" s="3"/>
      <c r="F4" s="3"/>
      <c r="G4" s="3"/>
      <c r="H4" s="3"/>
      <c r="I4" s="3"/>
      <c r="J4" s="3"/>
      <c r="K4" s="3"/>
      <c r="L4" s="3"/>
      <c r="M4" s="3"/>
      <c r="N4" s="3"/>
      <c r="O4" s="3"/>
      <c r="P4" s="3"/>
      <c r="Q4" s="3"/>
      <c r="R4" s="3"/>
      <c r="S4" s="3"/>
      <c r="T4" s="3"/>
      <c r="U4" s="3"/>
      <c r="V4" s="3"/>
      <c r="W4" s="3"/>
      <c r="X4" s="3"/>
      <c r="Y4" s="3"/>
      <c r="Z4" s="3"/>
      <c r="AD4" s="16"/>
      <c r="AE4" s="16"/>
    </row>
    <row r="5" spans="1:31" ht="14.4" customHeight="1" x14ac:dyDescent="0.3">
      <c r="A5" s="3"/>
      <c r="B5" s="12"/>
      <c r="C5" s="3"/>
      <c r="D5" s="3"/>
      <c r="E5" s="3"/>
      <c r="F5" s="3"/>
      <c r="G5" s="3"/>
      <c r="H5" s="3"/>
      <c r="I5" s="3"/>
      <c r="J5" s="3"/>
      <c r="K5" s="3"/>
      <c r="L5" s="3"/>
      <c r="M5" s="3"/>
      <c r="N5" s="3"/>
      <c r="O5" s="3"/>
      <c r="P5" s="3"/>
      <c r="Q5" s="3"/>
      <c r="R5" s="3"/>
      <c r="S5" s="3"/>
      <c r="T5" s="3"/>
      <c r="U5" s="3"/>
      <c r="V5" s="3"/>
      <c r="W5" s="3"/>
      <c r="X5" s="3"/>
      <c r="Y5" s="3"/>
      <c r="Z5" s="3"/>
      <c r="AE5" s="16"/>
    </row>
    <row r="6" spans="1:31" ht="15" customHeight="1" x14ac:dyDescent="0.3">
      <c r="A6" s="3"/>
      <c r="B6" s="12" t="s">
        <v>115</v>
      </c>
      <c r="C6" s="3"/>
      <c r="D6" s="3"/>
      <c r="E6" s="3"/>
      <c r="F6" s="3"/>
      <c r="G6" s="3"/>
      <c r="H6" s="3"/>
      <c r="I6" s="3"/>
      <c r="J6" s="3"/>
      <c r="K6" s="3"/>
      <c r="L6" s="3"/>
      <c r="M6" s="3"/>
      <c r="N6" s="3"/>
      <c r="O6" s="3"/>
      <c r="P6" s="3"/>
      <c r="Q6" s="3"/>
      <c r="R6" s="3"/>
      <c r="S6" s="3"/>
      <c r="T6" s="3"/>
      <c r="U6" s="3"/>
      <c r="V6" s="3"/>
      <c r="W6" s="3"/>
      <c r="X6" s="3"/>
      <c r="Y6" s="3"/>
      <c r="Z6" s="3"/>
      <c r="AE6" s="16"/>
    </row>
    <row r="7" spans="1:31" ht="15" customHeight="1" x14ac:dyDescent="0.3">
      <c r="A7" s="3"/>
      <c r="B7" s="112" t="s">
        <v>113</v>
      </c>
      <c r="C7" s="3"/>
      <c r="D7" s="3"/>
      <c r="E7" s="3"/>
      <c r="F7" s="3"/>
      <c r="G7" s="3"/>
      <c r="H7" s="3"/>
      <c r="I7" s="3"/>
      <c r="J7" s="3"/>
      <c r="K7" s="3"/>
      <c r="L7" s="3"/>
      <c r="M7" s="22"/>
      <c r="N7" s="3"/>
      <c r="O7" s="3"/>
      <c r="P7" s="3"/>
      <c r="Q7" s="3"/>
      <c r="R7" s="3"/>
      <c r="S7" s="22"/>
      <c r="T7" s="3"/>
      <c r="U7" s="3"/>
      <c r="V7" s="3"/>
      <c r="W7" s="3"/>
      <c r="X7" s="3"/>
      <c r="Y7" s="3"/>
      <c r="Z7" s="3"/>
      <c r="AE7" s="16"/>
    </row>
    <row r="8" spans="1:31" ht="15" customHeight="1" x14ac:dyDescent="0.3">
      <c r="A8" s="3"/>
      <c r="B8" s="14"/>
      <c r="C8" s="1350" t="s">
        <v>37</v>
      </c>
      <c r="D8" s="1350"/>
      <c r="E8" s="1350"/>
      <c r="F8" s="1350"/>
      <c r="G8" s="1350"/>
      <c r="H8" s="1350"/>
      <c r="I8" s="1351"/>
      <c r="J8" s="1202" t="s">
        <v>90</v>
      </c>
      <c r="K8" s="1354"/>
      <c r="L8" s="1355"/>
      <c r="M8" s="1202" t="s">
        <v>91</v>
      </c>
      <c r="N8" s="1354"/>
      <c r="O8" s="1355"/>
      <c r="P8" s="1202" t="s">
        <v>92</v>
      </c>
      <c r="Q8" s="1354"/>
      <c r="R8" s="1355"/>
      <c r="S8" s="1202" t="s">
        <v>93</v>
      </c>
      <c r="T8" s="1354"/>
      <c r="U8" s="1355"/>
      <c r="V8" s="1202" t="s">
        <v>94</v>
      </c>
      <c r="W8" s="1354"/>
      <c r="X8" s="1354"/>
      <c r="Y8" s="685"/>
      <c r="Z8" s="3"/>
      <c r="AE8" s="16"/>
    </row>
    <row r="9" spans="1:31" ht="15" customHeight="1" thickBot="1" x14ac:dyDescent="0.35">
      <c r="A9" s="3"/>
      <c r="B9" s="3"/>
      <c r="C9" s="1352"/>
      <c r="D9" s="1352"/>
      <c r="E9" s="1352"/>
      <c r="F9" s="1352"/>
      <c r="G9" s="1352"/>
      <c r="H9" s="1352"/>
      <c r="I9" s="1353"/>
      <c r="J9" s="1356"/>
      <c r="K9" s="1061"/>
      <c r="L9" s="1057"/>
      <c r="M9" s="1356"/>
      <c r="N9" s="1061"/>
      <c r="O9" s="1057"/>
      <c r="P9" s="1356"/>
      <c r="Q9" s="1061"/>
      <c r="R9" s="1057"/>
      <c r="S9" s="1356"/>
      <c r="T9" s="1061"/>
      <c r="U9" s="1057"/>
      <c r="V9" s="1356"/>
      <c r="W9" s="1061"/>
      <c r="X9" s="1061"/>
      <c r="Y9" s="685"/>
      <c r="Z9" s="3"/>
      <c r="AE9" s="16"/>
    </row>
    <row r="10" spans="1:31" ht="15" customHeight="1" x14ac:dyDescent="0.3">
      <c r="A10" s="3"/>
      <c r="B10" s="3"/>
      <c r="C10" s="1334" t="s">
        <v>85</v>
      </c>
      <c r="D10" s="1334"/>
      <c r="E10" s="1334"/>
      <c r="F10" s="1334"/>
      <c r="G10" s="1334"/>
      <c r="H10" s="1334"/>
      <c r="I10" s="1335"/>
      <c r="J10" s="1336">
        <f>'Scheme Entry - Baseline'!W25</f>
        <v>4100</v>
      </c>
      <c r="K10" s="1337"/>
      <c r="L10" s="1338"/>
      <c r="M10" s="1339"/>
      <c r="N10" s="1340"/>
      <c r="O10" s="1341"/>
      <c r="P10" s="1342">
        <f>((('Scheme Entry - Baseline'!$W$46*1000)/('Sensitivity 2'!$H$8))*Overview!E29)*('Sensitivity 2'!$H$10/1000)*J10</f>
        <v>798381.81818181812</v>
      </c>
      <c r="Q10" s="1343"/>
      <c r="R10" s="1344"/>
      <c r="S10" s="1345">
        <f>'Sensitivity 2'!H26</f>
        <v>0.13</v>
      </c>
      <c r="T10" s="1346"/>
      <c r="U10" s="1347"/>
      <c r="V10" s="1348">
        <f>P10*S10</f>
        <v>103789.63636363635</v>
      </c>
      <c r="W10" s="1349"/>
      <c r="X10" s="1349"/>
      <c r="Y10" s="111"/>
      <c r="Z10" s="3"/>
      <c r="AB10" s="66"/>
      <c r="AE10" s="16"/>
    </row>
    <row r="11" spans="1:31" ht="15" customHeight="1" x14ac:dyDescent="0.3">
      <c r="A11" s="3"/>
      <c r="B11" s="3"/>
      <c r="C11" s="1373" t="s">
        <v>86</v>
      </c>
      <c r="D11" s="1373"/>
      <c r="E11" s="1373"/>
      <c r="F11" s="1373"/>
      <c r="G11" s="1373"/>
      <c r="H11" s="1374" t="s">
        <v>87</v>
      </c>
      <c r="I11" s="1375"/>
      <c r="J11" s="1376">
        <v>0</v>
      </c>
      <c r="K11" s="1377"/>
      <c r="L11" s="1378"/>
      <c r="M11" s="1379"/>
      <c r="N11" s="1380"/>
      <c r="O11" s="1381"/>
      <c r="P11" s="1382">
        <f>((('Scheme Entry - Baseline'!$W$46*1000)/('Sensitivity 2'!$H$8))*Overview!$E$29)*('Sensitivity 2'!$H$10/1000)*J11</f>
        <v>0</v>
      </c>
      <c r="Q11" s="1383"/>
      <c r="R11" s="1384"/>
      <c r="S11" s="1492">
        <f>S10</f>
        <v>0.13</v>
      </c>
      <c r="T11" s="1377"/>
      <c r="U11" s="1378"/>
      <c r="V11" s="1357">
        <f>P11*S11</f>
        <v>0</v>
      </c>
      <c r="W11" s="1358"/>
      <c r="X11" s="1358"/>
      <c r="Y11" s="686"/>
      <c r="Z11" s="3"/>
      <c r="AE11" s="16"/>
    </row>
    <row r="12" spans="1:31" ht="15" customHeight="1" x14ac:dyDescent="0.3">
      <c r="A12" s="3"/>
      <c r="B12" s="3"/>
      <c r="C12" s="1359"/>
      <c r="D12" s="1359"/>
      <c r="E12" s="1359"/>
      <c r="F12" s="1359"/>
      <c r="G12" s="1359"/>
      <c r="H12" s="1360" t="s">
        <v>88</v>
      </c>
      <c r="I12" s="1361"/>
      <c r="J12" s="1362">
        <v>0</v>
      </c>
      <c r="K12" s="1363"/>
      <c r="L12" s="1364"/>
      <c r="M12" s="1365"/>
      <c r="N12" s="1366"/>
      <c r="O12" s="1367"/>
      <c r="P12" s="1501">
        <f>((('Scheme Entry - Baseline'!$W$46*1000)/('Scheme Entry - Baseline'!$W$9))*2)*'Scheme Entry - Baseline'!$W$11*J12*M12</f>
        <v>0</v>
      </c>
      <c r="Q12" s="1502"/>
      <c r="R12" s="1503"/>
      <c r="S12" s="1491">
        <f>S10</f>
        <v>0.13</v>
      </c>
      <c r="T12" s="1363"/>
      <c r="U12" s="1364"/>
      <c r="V12" s="1371">
        <f>P12*S12</f>
        <v>0</v>
      </c>
      <c r="W12" s="1372"/>
      <c r="X12" s="1372"/>
      <c r="Y12" s="686"/>
      <c r="Z12" s="3"/>
      <c r="AE12" s="16"/>
    </row>
    <row r="13" spans="1:31" ht="15" customHeight="1" thickBot="1" x14ac:dyDescent="0.35">
      <c r="A13" s="3"/>
      <c r="B13" s="3"/>
      <c r="C13" s="1387"/>
      <c r="D13" s="1387"/>
      <c r="E13" s="1387"/>
      <c r="F13" s="1387"/>
      <c r="G13" s="1387"/>
      <c r="H13" s="1387"/>
      <c r="I13" s="1388"/>
      <c r="J13" s="1389">
        <f>SUM(J11:L12)</f>
        <v>0</v>
      </c>
      <c r="K13" s="1390"/>
      <c r="L13" s="1391"/>
      <c r="M13" s="1392"/>
      <c r="N13" s="1393"/>
      <c r="O13" s="1394"/>
      <c r="P13" s="1395">
        <f>P10</f>
        <v>798381.81818181812</v>
      </c>
      <c r="Q13" s="1396"/>
      <c r="R13" s="1397"/>
      <c r="S13" s="1392"/>
      <c r="T13" s="1393"/>
      <c r="U13" s="1394"/>
      <c r="V13" s="1385">
        <f>V10</f>
        <v>103789.63636363635</v>
      </c>
      <c r="W13" s="1386"/>
      <c r="X13" s="1386"/>
      <c r="Y13" s="111"/>
      <c r="Z13" s="3"/>
      <c r="AE13" s="16"/>
    </row>
    <row r="14" spans="1:31" ht="15" customHeight="1" x14ac:dyDescent="0.3">
      <c r="A14" s="3"/>
      <c r="B14" s="3"/>
      <c r="C14" s="485"/>
      <c r="D14" s="485"/>
      <c r="E14" s="485"/>
      <c r="F14" s="485"/>
      <c r="G14" s="485"/>
      <c r="H14" s="485"/>
      <c r="I14" s="485"/>
      <c r="J14" s="485"/>
      <c r="K14" s="485"/>
      <c r="L14" s="485"/>
      <c r="M14" s="485"/>
      <c r="N14" s="485"/>
      <c r="O14" s="485"/>
      <c r="P14" s="485"/>
      <c r="Q14" s="485"/>
      <c r="R14" s="485"/>
      <c r="S14" s="485"/>
      <c r="T14" s="485"/>
      <c r="U14" s="485"/>
      <c r="V14" s="485"/>
      <c r="W14" s="485"/>
      <c r="X14" s="485"/>
      <c r="Y14" s="677"/>
      <c r="Z14" s="3"/>
      <c r="AD14" s="16"/>
      <c r="AE14" s="16"/>
    </row>
    <row r="15" spans="1:31" ht="15" customHeight="1" x14ac:dyDescent="0.3">
      <c r="A15" s="3"/>
      <c r="B15" s="12" t="s">
        <v>116</v>
      </c>
      <c r="C15" s="3"/>
      <c r="D15" s="3"/>
      <c r="E15" s="3"/>
      <c r="F15" s="3"/>
      <c r="G15" s="3"/>
      <c r="H15" s="3"/>
      <c r="I15" s="3"/>
      <c r="J15" s="3"/>
      <c r="K15" s="3"/>
      <c r="L15" s="3"/>
      <c r="M15" s="3"/>
      <c r="N15" s="3"/>
      <c r="O15" s="3"/>
      <c r="P15" s="1398"/>
      <c r="Q15" s="1399"/>
      <c r="R15" s="1399"/>
      <c r="S15" s="1399"/>
      <c r="T15" s="1399"/>
      <c r="U15" s="1399"/>
      <c r="V15" s="3"/>
      <c r="W15" s="3"/>
      <c r="X15" s="3"/>
      <c r="Y15" s="3"/>
      <c r="Z15" s="3"/>
      <c r="AD15" s="16"/>
      <c r="AE15" s="16"/>
    </row>
    <row r="16" spans="1:31" ht="15" customHeight="1" x14ac:dyDescent="0.3">
      <c r="A16" s="3"/>
      <c r="B16" s="113" t="s">
        <v>114</v>
      </c>
      <c r="C16" s="3"/>
      <c r="D16" s="3"/>
      <c r="E16" s="3"/>
      <c r="F16" s="3"/>
      <c r="G16" s="3"/>
      <c r="H16" s="3"/>
      <c r="I16" s="3"/>
      <c r="J16" s="3"/>
      <c r="K16" s="3"/>
      <c r="L16" s="3"/>
      <c r="M16" s="22"/>
      <c r="N16" s="3"/>
      <c r="O16" s="3"/>
      <c r="P16" s="1399"/>
      <c r="Q16" s="1399"/>
      <c r="R16" s="1399"/>
      <c r="S16" s="3"/>
      <c r="T16" s="3"/>
      <c r="U16" s="3"/>
      <c r="V16" s="3"/>
      <c r="W16" s="3"/>
      <c r="X16" s="3"/>
      <c r="Y16" s="3"/>
      <c r="Z16" s="3"/>
      <c r="AD16" s="16"/>
      <c r="AE16" s="16"/>
    </row>
    <row r="17" spans="1:26" ht="15" customHeight="1" x14ac:dyDescent="0.3">
      <c r="A17" s="3"/>
      <c r="B17" s="14"/>
      <c r="C17" s="1350" t="s">
        <v>37</v>
      </c>
      <c r="D17" s="1350"/>
      <c r="E17" s="1350"/>
      <c r="F17" s="1350"/>
      <c r="G17" s="1350"/>
      <c r="H17" s="1350"/>
      <c r="I17" s="1351"/>
      <c r="J17" s="1202" t="s">
        <v>90</v>
      </c>
      <c r="K17" s="1354"/>
      <c r="L17" s="1355"/>
      <c r="M17" s="1202" t="s">
        <v>91</v>
      </c>
      <c r="N17" s="1354"/>
      <c r="O17" s="1355"/>
      <c r="P17" s="1202" t="s">
        <v>92</v>
      </c>
      <c r="Q17" s="1354"/>
      <c r="R17" s="1355"/>
      <c r="S17" s="1202" t="s">
        <v>93</v>
      </c>
      <c r="T17" s="1354"/>
      <c r="U17" s="1355"/>
      <c r="V17" s="1202" t="s">
        <v>94</v>
      </c>
      <c r="W17" s="1354"/>
      <c r="X17" s="1354"/>
      <c r="Y17" s="685"/>
      <c r="Z17" s="3"/>
    </row>
    <row r="18" spans="1:26" ht="15" customHeight="1" thickBot="1" x14ac:dyDescent="0.35">
      <c r="A18" s="3"/>
      <c r="B18" s="3"/>
      <c r="C18" s="1352"/>
      <c r="D18" s="1352"/>
      <c r="E18" s="1352"/>
      <c r="F18" s="1352"/>
      <c r="G18" s="1352"/>
      <c r="H18" s="1352"/>
      <c r="I18" s="1353"/>
      <c r="J18" s="1356"/>
      <c r="K18" s="1061"/>
      <c r="L18" s="1057"/>
      <c r="M18" s="1356"/>
      <c r="N18" s="1061"/>
      <c r="O18" s="1057"/>
      <c r="P18" s="1356"/>
      <c r="Q18" s="1061"/>
      <c r="R18" s="1057"/>
      <c r="S18" s="1356"/>
      <c r="T18" s="1061"/>
      <c r="U18" s="1057"/>
      <c r="V18" s="1356"/>
      <c r="W18" s="1061"/>
      <c r="X18" s="1061"/>
      <c r="Y18" s="685"/>
      <c r="Z18" s="3"/>
    </row>
    <row r="19" spans="1:26" ht="15" customHeight="1" x14ac:dyDescent="0.3">
      <c r="A19" s="3"/>
      <c r="B19" s="3"/>
      <c r="C19" s="1426" t="s">
        <v>85</v>
      </c>
      <c r="D19" s="1426"/>
      <c r="E19" s="1426"/>
      <c r="F19" s="1426"/>
      <c r="G19" s="1426"/>
      <c r="H19" s="1426"/>
      <c r="I19" s="1427"/>
      <c r="J19" s="1406">
        <v>4100</v>
      </c>
      <c r="K19" s="1407"/>
      <c r="L19" s="1408"/>
      <c r="M19" s="1400"/>
      <c r="N19" s="1401"/>
      <c r="O19" s="1402"/>
      <c r="P19" s="1342">
        <f>P10</f>
        <v>798381.81818181812</v>
      </c>
      <c r="Q19" s="1343"/>
      <c r="R19" s="1344"/>
      <c r="S19" s="1493">
        <f>S10</f>
        <v>0.13</v>
      </c>
      <c r="T19" s="1407"/>
      <c r="U19" s="1408"/>
      <c r="V19" s="1409">
        <f>P19*S19</f>
        <v>103789.63636363635</v>
      </c>
      <c r="W19" s="1410"/>
      <c r="X19" s="1410"/>
      <c r="Y19" s="736"/>
      <c r="Z19" s="3"/>
    </row>
    <row r="20" spans="1:26" ht="15" customHeight="1" x14ac:dyDescent="0.3">
      <c r="A20" s="3"/>
      <c r="B20" s="3"/>
      <c r="C20" s="1411" t="s">
        <v>86</v>
      </c>
      <c r="D20" s="1411"/>
      <c r="E20" s="1411"/>
      <c r="F20" s="1411"/>
      <c r="G20" s="1411"/>
      <c r="H20" s="1412" t="s">
        <v>87</v>
      </c>
      <c r="I20" s="1413"/>
      <c r="J20" s="1414">
        <f>J19*54%</f>
        <v>2214</v>
      </c>
      <c r="K20" s="1415"/>
      <c r="L20" s="1416"/>
      <c r="M20" s="1417"/>
      <c r="N20" s="1418"/>
      <c r="O20" s="1419"/>
      <c r="P20" s="1420">
        <f>((('Scheme Entry - Baseline'!$W$46*1000)/('Scheme Entry - Baseline'!$W$9))*Overview!$E$29)*('Scheme Entry - Baseline'!$W$11/1000)*J20</f>
        <v>608454.64285714296</v>
      </c>
      <c r="Q20" s="1421"/>
      <c r="R20" s="1422"/>
      <c r="S20" s="1498">
        <f>S10</f>
        <v>0.13</v>
      </c>
      <c r="T20" s="1424"/>
      <c r="U20" s="1425"/>
      <c r="V20" s="1428">
        <f>P20*S20</f>
        <v>79099.103571428583</v>
      </c>
      <c r="W20" s="1429"/>
      <c r="X20" s="1429"/>
      <c r="Y20" s="690"/>
      <c r="Z20" s="3"/>
    </row>
    <row r="21" spans="1:26" ht="15" customHeight="1" x14ac:dyDescent="0.3">
      <c r="A21" s="3"/>
      <c r="B21" s="3"/>
      <c r="C21" s="1430"/>
      <c r="D21" s="1430"/>
      <c r="E21" s="1430"/>
      <c r="F21" s="1430"/>
      <c r="G21" s="1430"/>
      <c r="H21" s="1052" t="s">
        <v>88</v>
      </c>
      <c r="I21" s="1431"/>
      <c r="J21" s="1432">
        <f>J19*46%</f>
        <v>1886</v>
      </c>
      <c r="K21" s="1433"/>
      <c r="L21" s="1434"/>
      <c r="M21" s="1435">
        <v>0.25</v>
      </c>
      <c r="N21" s="1436"/>
      <c r="O21" s="1437"/>
      <c r="P21" s="1494">
        <f>((('Scheme Entry - Baseline'!$W$46*1000)/('Scheme Entry - Baseline'!$W$9))*Overview!$E$29)*('Scheme Entry - Baseline'!$W$11*J21/1000)*(100%-M21)</f>
        <v>388734.91071428568</v>
      </c>
      <c r="Q21" s="1495"/>
      <c r="R21" s="1496"/>
      <c r="S21" s="1497">
        <f>S10</f>
        <v>0.13</v>
      </c>
      <c r="T21" s="1442"/>
      <c r="U21" s="1443"/>
      <c r="V21" s="1444">
        <f>P21*S21</f>
        <v>50535.538392857139</v>
      </c>
      <c r="W21" s="1445"/>
      <c r="X21" s="1445"/>
      <c r="Y21" s="690"/>
      <c r="Z21" s="3"/>
    </row>
    <row r="22" spans="1:26" ht="15" customHeight="1" thickBot="1" x14ac:dyDescent="0.35">
      <c r="A22" s="3"/>
      <c r="B22" s="3"/>
      <c r="C22" s="1387"/>
      <c r="D22" s="1387"/>
      <c r="E22" s="1387"/>
      <c r="F22" s="1387"/>
      <c r="G22" s="1387"/>
      <c r="H22" s="1387"/>
      <c r="I22" s="1387"/>
      <c r="J22" s="1389">
        <f>SUM(J20:L21)</f>
        <v>4100</v>
      </c>
      <c r="K22" s="1390"/>
      <c r="L22" s="1391"/>
      <c r="M22" s="1392"/>
      <c r="N22" s="1393"/>
      <c r="O22" s="1394"/>
      <c r="P22" s="1395">
        <f>SUM(P20:R21)</f>
        <v>997189.55357142864</v>
      </c>
      <c r="Q22" s="1396"/>
      <c r="R22" s="1397"/>
      <c r="S22" s="1392"/>
      <c r="T22" s="1393"/>
      <c r="U22" s="1394"/>
      <c r="V22" s="1385">
        <f>SUM(V20:X21)</f>
        <v>129634.64196428572</v>
      </c>
      <c r="W22" s="1386"/>
      <c r="X22" s="1386"/>
      <c r="Y22" s="111"/>
      <c r="Z22" s="3"/>
    </row>
    <row r="23" spans="1:26" ht="15" customHeight="1" x14ac:dyDescent="0.3">
      <c r="A23" s="3"/>
      <c r="B23" s="3"/>
      <c r="C23" s="931"/>
      <c r="D23" s="931"/>
      <c r="E23" s="931"/>
      <c r="F23" s="931"/>
      <c r="G23" s="931"/>
      <c r="H23" s="931"/>
      <c r="I23" s="931"/>
      <c r="J23" s="931"/>
      <c r="K23" s="931"/>
      <c r="L23" s="931"/>
      <c r="M23" s="931"/>
      <c r="N23" s="931"/>
      <c r="O23" s="931"/>
      <c r="P23" s="931"/>
      <c r="Q23" s="931"/>
      <c r="R23" s="931"/>
      <c r="S23" s="931"/>
      <c r="T23" s="931"/>
      <c r="U23" s="931"/>
      <c r="V23" s="931"/>
      <c r="W23" s="931"/>
      <c r="X23" s="931"/>
      <c r="Y23" s="677"/>
      <c r="Z23" s="3"/>
    </row>
    <row r="24" spans="1:26" ht="15" customHeight="1" x14ac:dyDescent="0.3">
      <c r="A24" s="3"/>
      <c r="B24" s="113" t="s">
        <v>117</v>
      </c>
      <c r="C24" s="3"/>
      <c r="D24" s="3"/>
      <c r="E24" s="3"/>
      <c r="F24" s="3"/>
      <c r="G24" s="3"/>
      <c r="H24" s="3"/>
      <c r="I24" s="3"/>
      <c r="J24" s="3"/>
      <c r="K24" s="3"/>
      <c r="L24" s="3"/>
      <c r="M24" s="22"/>
      <c r="N24" s="3"/>
      <c r="O24" s="3"/>
      <c r="P24" s="3"/>
      <c r="Q24" s="3"/>
      <c r="R24" s="3"/>
      <c r="S24" s="3"/>
      <c r="T24" s="3"/>
      <c r="U24" s="3"/>
      <c r="V24" s="3"/>
      <c r="W24" s="3"/>
      <c r="X24" s="3"/>
      <c r="Y24" s="3"/>
      <c r="Z24" s="3"/>
    </row>
    <row r="25" spans="1:26" ht="15" customHeight="1" x14ac:dyDescent="0.3">
      <c r="A25" s="3"/>
      <c r="B25" s="14"/>
      <c r="C25" s="1350" t="s">
        <v>37</v>
      </c>
      <c r="D25" s="1350"/>
      <c r="E25" s="1350"/>
      <c r="F25" s="1350"/>
      <c r="G25" s="1350"/>
      <c r="H25" s="1350"/>
      <c r="I25" s="1351"/>
      <c r="J25" s="1202" t="s">
        <v>90</v>
      </c>
      <c r="K25" s="1354"/>
      <c r="L25" s="1355"/>
      <c r="M25" s="1202" t="s">
        <v>91</v>
      </c>
      <c r="N25" s="1354"/>
      <c r="O25" s="1355"/>
      <c r="P25" s="1202" t="s">
        <v>92</v>
      </c>
      <c r="Q25" s="1354"/>
      <c r="R25" s="1355"/>
      <c r="S25" s="1202" t="s">
        <v>93</v>
      </c>
      <c r="T25" s="1354"/>
      <c r="U25" s="1355"/>
      <c r="V25" s="1202" t="s">
        <v>94</v>
      </c>
      <c r="W25" s="1354"/>
      <c r="X25" s="1354"/>
      <c r="Y25" s="685"/>
      <c r="Z25" s="3"/>
    </row>
    <row r="26" spans="1:26" ht="15" customHeight="1" thickBot="1" x14ac:dyDescent="0.35">
      <c r="A26" s="3"/>
      <c r="B26" s="3"/>
      <c r="C26" s="1352"/>
      <c r="D26" s="1352"/>
      <c r="E26" s="1352"/>
      <c r="F26" s="1352"/>
      <c r="G26" s="1352"/>
      <c r="H26" s="1352"/>
      <c r="I26" s="1353"/>
      <c r="J26" s="1356"/>
      <c r="K26" s="1061"/>
      <c r="L26" s="1057"/>
      <c r="M26" s="1356"/>
      <c r="N26" s="1061"/>
      <c r="O26" s="1057"/>
      <c r="P26" s="1356"/>
      <c r="Q26" s="1061"/>
      <c r="R26" s="1057"/>
      <c r="S26" s="1356"/>
      <c r="T26" s="1061"/>
      <c r="U26" s="1057"/>
      <c r="V26" s="1356"/>
      <c r="W26" s="1061"/>
      <c r="X26" s="1061"/>
      <c r="Y26" s="685"/>
      <c r="Z26" s="3"/>
    </row>
    <row r="27" spans="1:26" ht="15" customHeight="1" x14ac:dyDescent="0.3">
      <c r="A27" s="3"/>
      <c r="B27" s="3"/>
      <c r="C27" s="1426" t="s">
        <v>85</v>
      </c>
      <c r="D27" s="1426"/>
      <c r="E27" s="1426"/>
      <c r="F27" s="1426"/>
      <c r="G27" s="1426"/>
      <c r="H27" s="1426"/>
      <c r="I27" s="1427"/>
      <c r="J27" s="1406">
        <v>4100</v>
      </c>
      <c r="K27" s="1407"/>
      <c r="L27" s="1408"/>
      <c r="M27" s="1400"/>
      <c r="N27" s="1401"/>
      <c r="O27" s="1402"/>
      <c r="P27" s="1342">
        <f>P10</f>
        <v>798381.81818181812</v>
      </c>
      <c r="Q27" s="1343"/>
      <c r="R27" s="1344"/>
      <c r="S27" s="1493">
        <f>S10</f>
        <v>0.13</v>
      </c>
      <c r="T27" s="1407"/>
      <c r="U27" s="1408"/>
      <c r="V27" s="1409">
        <f>P27*S27</f>
        <v>103789.63636363635</v>
      </c>
      <c r="W27" s="1410"/>
      <c r="X27" s="1410"/>
      <c r="Y27" s="736"/>
      <c r="Z27" s="3"/>
    </row>
    <row r="28" spans="1:26" ht="15" customHeight="1" x14ac:dyDescent="0.3">
      <c r="A28" s="3"/>
      <c r="B28" s="3"/>
      <c r="C28" s="1411" t="s">
        <v>86</v>
      </c>
      <c r="D28" s="1411"/>
      <c r="E28" s="1411"/>
      <c r="F28" s="1411"/>
      <c r="G28" s="1411"/>
      <c r="H28" s="1412" t="s">
        <v>87</v>
      </c>
      <c r="I28" s="1413"/>
      <c r="J28" s="1452">
        <f>J20</f>
        <v>2214</v>
      </c>
      <c r="K28" s="1453"/>
      <c r="L28" s="1454"/>
      <c r="M28" s="1417"/>
      <c r="N28" s="1418"/>
      <c r="O28" s="1419"/>
      <c r="P28" s="1420">
        <f>((('Scheme Entry - Baseline'!$W$46*1000)/('Scheme Entry - Baseline'!$W$9))*Overview!$E$29)*('Scheme Entry - Baseline'!$W$11/1000)*J28</f>
        <v>608454.64285714296</v>
      </c>
      <c r="Q28" s="1421"/>
      <c r="R28" s="1422"/>
      <c r="S28" s="1498">
        <f>S10</f>
        <v>0.13</v>
      </c>
      <c r="T28" s="1424"/>
      <c r="U28" s="1425"/>
      <c r="V28" s="1428">
        <f>P28*S28</f>
        <v>79099.103571428583</v>
      </c>
      <c r="W28" s="1429"/>
      <c r="X28" s="1429"/>
      <c r="Y28" s="690"/>
      <c r="Z28" s="3"/>
    </row>
    <row r="29" spans="1:26" ht="15" customHeight="1" x14ac:dyDescent="0.3">
      <c r="A29" s="3"/>
      <c r="B29" s="3"/>
      <c r="C29" s="1430"/>
      <c r="D29" s="1430"/>
      <c r="E29" s="1430"/>
      <c r="F29" s="1430"/>
      <c r="G29" s="1430"/>
      <c r="H29" s="1052" t="s">
        <v>88</v>
      </c>
      <c r="I29" s="1431"/>
      <c r="J29" s="1449">
        <f>J21</f>
        <v>1886</v>
      </c>
      <c r="K29" s="1450"/>
      <c r="L29" s="1451"/>
      <c r="M29" s="1435">
        <v>0.33</v>
      </c>
      <c r="N29" s="1436"/>
      <c r="O29" s="1437"/>
      <c r="P29" s="1494">
        <f>((('Scheme Entry - Baseline'!$W$46*1000)/('Scheme Entry - Baseline'!$W$9))*Overview!$E$29)*('Scheme Entry - Baseline'!$W$11*J29/1000)*(100%-M29)</f>
        <v>347269.85357142845</v>
      </c>
      <c r="Q29" s="1495"/>
      <c r="R29" s="1496"/>
      <c r="S29" s="1497">
        <f>S10</f>
        <v>0.13</v>
      </c>
      <c r="T29" s="1442"/>
      <c r="U29" s="1443"/>
      <c r="V29" s="1444">
        <f>P29*S29</f>
        <v>45145.080964285698</v>
      </c>
      <c r="W29" s="1445"/>
      <c r="X29" s="1445"/>
      <c r="Y29" s="690"/>
      <c r="Z29" s="3"/>
    </row>
    <row r="30" spans="1:26" ht="15" customHeight="1" thickBot="1" x14ac:dyDescent="0.35">
      <c r="A30" s="3"/>
      <c r="B30" s="3"/>
      <c r="C30" s="1387"/>
      <c r="D30" s="1387"/>
      <c r="E30" s="1387"/>
      <c r="F30" s="1387"/>
      <c r="G30" s="1387"/>
      <c r="H30" s="1387"/>
      <c r="I30" s="1388"/>
      <c r="J30" s="1446">
        <f>SUM(J28:L29)</f>
        <v>4100</v>
      </c>
      <c r="K30" s="1447"/>
      <c r="L30" s="1448"/>
      <c r="M30" s="1392"/>
      <c r="N30" s="1393"/>
      <c r="O30" s="1394"/>
      <c r="P30" s="1395">
        <f>SUM(P28:R29)</f>
        <v>955724.49642857141</v>
      </c>
      <c r="Q30" s="1396"/>
      <c r="R30" s="1397"/>
      <c r="S30" s="1392"/>
      <c r="T30" s="1393"/>
      <c r="U30" s="1394"/>
      <c r="V30" s="1385">
        <f>SUM(V28:X29)</f>
        <v>124244.18453571427</v>
      </c>
      <c r="W30" s="1386"/>
      <c r="X30" s="1386"/>
      <c r="Y30" s="111"/>
      <c r="Z30" s="3"/>
    </row>
    <row r="31" spans="1:26" ht="15" customHeight="1" x14ac:dyDescent="0.3">
      <c r="A31" s="79"/>
      <c r="B31" s="79"/>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79"/>
    </row>
    <row r="32" spans="1:26" ht="15" customHeight="1" x14ac:dyDescent="0.3">
      <c r="A32" s="15"/>
      <c r="B32" s="15"/>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5"/>
    </row>
    <row r="33" spans="1:26" ht="15" customHeight="1" x14ac:dyDescent="0.3">
      <c r="A33" s="1"/>
      <c r="B33" s="1"/>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
    </row>
    <row r="34" spans="1:26" ht="15" customHeight="1" x14ac:dyDescent="0.3">
      <c r="A34" s="3"/>
      <c r="B34" s="113" t="s">
        <v>118</v>
      </c>
      <c r="C34" s="3"/>
      <c r="D34" s="3"/>
      <c r="E34" s="3"/>
      <c r="F34" s="3"/>
      <c r="G34" s="3"/>
      <c r="H34" s="3"/>
      <c r="I34" s="3"/>
      <c r="J34" s="3"/>
      <c r="K34" s="3"/>
      <c r="L34" s="3"/>
      <c r="M34" s="22"/>
      <c r="N34" s="3"/>
      <c r="O34" s="3"/>
      <c r="P34" s="3"/>
      <c r="Q34" s="3"/>
      <c r="R34" s="3"/>
      <c r="S34" s="3"/>
      <c r="T34" s="3"/>
      <c r="U34" s="3"/>
      <c r="V34" s="3"/>
      <c r="W34" s="3"/>
      <c r="X34" s="3"/>
      <c r="Y34" s="3"/>
      <c r="Z34" s="3"/>
    </row>
    <row r="35" spans="1:26" ht="15" customHeight="1" x14ac:dyDescent="0.3">
      <c r="A35" s="3"/>
      <c r="B35" s="14"/>
      <c r="C35" s="1350" t="s">
        <v>37</v>
      </c>
      <c r="D35" s="1350"/>
      <c r="E35" s="1350"/>
      <c r="F35" s="1350"/>
      <c r="G35" s="1350"/>
      <c r="H35" s="1350"/>
      <c r="I35" s="1351"/>
      <c r="J35" s="1202" t="s">
        <v>90</v>
      </c>
      <c r="K35" s="1354"/>
      <c r="L35" s="1355"/>
      <c r="M35" s="1202" t="s">
        <v>91</v>
      </c>
      <c r="N35" s="1354"/>
      <c r="O35" s="1355"/>
      <c r="P35" s="1202" t="s">
        <v>92</v>
      </c>
      <c r="Q35" s="1354"/>
      <c r="R35" s="1355"/>
      <c r="S35" s="1202" t="s">
        <v>93</v>
      </c>
      <c r="T35" s="1354"/>
      <c r="U35" s="1355"/>
      <c r="V35" s="1202" t="s">
        <v>94</v>
      </c>
      <c r="W35" s="1354"/>
      <c r="X35" s="1354"/>
      <c r="Y35" s="685"/>
      <c r="Z35" s="3"/>
    </row>
    <row r="36" spans="1:26" ht="15" customHeight="1" thickBot="1" x14ac:dyDescent="0.35">
      <c r="A36" s="3"/>
      <c r="B36" s="3"/>
      <c r="C36" s="1352"/>
      <c r="D36" s="1352"/>
      <c r="E36" s="1352"/>
      <c r="F36" s="1352"/>
      <c r="G36" s="1352"/>
      <c r="H36" s="1352"/>
      <c r="I36" s="1353"/>
      <c r="J36" s="1356"/>
      <c r="K36" s="1061"/>
      <c r="L36" s="1057"/>
      <c r="M36" s="1356"/>
      <c r="N36" s="1061"/>
      <c r="O36" s="1057"/>
      <c r="P36" s="1356"/>
      <c r="Q36" s="1061"/>
      <c r="R36" s="1057"/>
      <c r="S36" s="1356"/>
      <c r="T36" s="1061"/>
      <c r="U36" s="1057"/>
      <c r="V36" s="1356"/>
      <c r="W36" s="1061"/>
      <c r="X36" s="1061"/>
      <c r="Y36" s="685"/>
      <c r="Z36" s="3"/>
    </row>
    <row r="37" spans="1:26" ht="15" customHeight="1" x14ac:dyDescent="0.3">
      <c r="A37" s="3"/>
      <c r="B37" s="3"/>
      <c r="C37" s="1426" t="s">
        <v>85</v>
      </c>
      <c r="D37" s="1426"/>
      <c r="E37" s="1426"/>
      <c r="F37" s="1426"/>
      <c r="G37" s="1426"/>
      <c r="H37" s="1426"/>
      <c r="I37" s="1427"/>
      <c r="J37" s="1406">
        <v>4100</v>
      </c>
      <c r="K37" s="1407"/>
      <c r="L37" s="1408"/>
      <c r="M37" s="1400"/>
      <c r="N37" s="1401"/>
      <c r="O37" s="1402"/>
      <c r="P37" s="1342">
        <f>P10</f>
        <v>798381.81818181812</v>
      </c>
      <c r="Q37" s="1343"/>
      <c r="R37" s="1344"/>
      <c r="S37" s="1493">
        <f>S10</f>
        <v>0.13</v>
      </c>
      <c r="T37" s="1407"/>
      <c r="U37" s="1408"/>
      <c r="V37" s="1409">
        <f>P37*S37</f>
        <v>103789.63636363635</v>
      </c>
      <c r="W37" s="1410"/>
      <c r="X37" s="1410"/>
      <c r="Y37" s="736"/>
      <c r="Z37" s="3"/>
    </row>
    <row r="38" spans="1:26" ht="15" customHeight="1" x14ac:dyDescent="0.3">
      <c r="A38" s="3"/>
      <c r="B38" s="3"/>
      <c r="C38" s="1411" t="s">
        <v>86</v>
      </c>
      <c r="D38" s="1411"/>
      <c r="E38" s="1411"/>
      <c r="F38" s="1411"/>
      <c r="G38" s="1411"/>
      <c r="H38" s="1412" t="s">
        <v>87</v>
      </c>
      <c r="I38" s="1413"/>
      <c r="J38" s="1452">
        <f>J20</f>
        <v>2214</v>
      </c>
      <c r="K38" s="1453"/>
      <c r="L38" s="1454"/>
      <c r="M38" s="1417"/>
      <c r="N38" s="1418"/>
      <c r="O38" s="1419"/>
      <c r="P38" s="1420">
        <f>((('Scheme Entry - Baseline'!$W$46*1000)/('Scheme Entry - Baseline'!$W$9))*Overview!$E$29)*('Scheme Entry - Baseline'!$W$11/1000)*J38</f>
        <v>608454.64285714296</v>
      </c>
      <c r="Q38" s="1421"/>
      <c r="R38" s="1422"/>
      <c r="S38" s="1498">
        <f>S10</f>
        <v>0.13</v>
      </c>
      <c r="T38" s="1424"/>
      <c r="U38" s="1425"/>
      <c r="V38" s="1428">
        <f>P38*S38</f>
        <v>79099.103571428583</v>
      </c>
      <c r="W38" s="1429"/>
      <c r="X38" s="1429"/>
      <c r="Y38" s="690"/>
      <c r="Z38" s="3"/>
    </row>
    <row r="39" spans="1:26" ht="15" customHeight="1" x14ac:dyDescent="0.3">
      <c r="A39" s="3"/>
      <c r="B39" s="3"/>
      <c r="C39" s="1430"/>
      <c r="D39" s="1430"/>
      <c r="E39" s="1430"/>
      <c r="F39" s="1430"/>
      <c r="G39" s="1430"/>
      <c r="H39" s="1052" t="s">
        <v>88</v>
      </c>
      <c r="I39" s="1431"/>
      <c r="J39" s="1449">
        <f>J21</f>
        <v>1886</v>
      </c>
      <c r="K39" s="1450"/>
      <c r="L39" s="1451"/>
      <c r="M39" s="1435">
        <v>0.5</v>
      </c>
      <c r="N39" s="1436"/>
      <c r="O39" s="1437"/>
      <c r="P39" s="1494">
        <f>((('Scheme Entry - Baseline'!$W$46*1000)/('Scheme Entry - Baseline'!$W$9))*Overview!$E$29)*('Scheme Entry - Baseline'!$W$11*J39/1000)*(100%-M39)</f>
        <v>259156.6071428571</v>
      </c>
      <c r="Q39" s="1495"/>
      <c r="R39" s="1496"/>
      <c r="S39" s="1497">
        <f>S10</f>
        <v>0.13</v>
      </c>
      <c r="T39" s="1442"/>
      <c r="U39" s="1443"/>
      <c r="V39" s="1444">
        <f>P39*S39</f>
        <v>33690.358928571426</v>
      </c>
      <c r="W39" s="1445"/>
      <c r="X39" s="1445"/>
      <c r="Y39" s="690"/>
      <c r="Z39" s="3"/>
    </row>
    <row r="40" spans="1:26" ht="15" customHeight="1" thickBot="1" x14ac:dyDescent="0.35">
      <c r="A40" s="3"/>
      <c r="B40" s="3"/>
      <c r="C40" s="1387"/>
      <c r="D40" s="1387"/>
      <c r="E40" s="1387"/>
      <c r="F40" s="1387"/>
      <c r="G40" s="1387"/>
      <c r="H40" s="1387"/>
      <c r="I40" s="1388"/>
      <c r="J40" s="1389">
        <f>SUM(J38:L39)</f>
        <v>4100</v>
      </c>
      <c r="K40" s="1390"/>
      <c r="L40" s="1391"/>
      <c r="M40" s="1392"/>
      <c r="N40" s="1393"/>
      <c r="O40" s="1394"/>
      <c r="P40" s="1395">
        <f>SUM(P38:R39)</f>
        <v>867611.25</v>
      </c>
      <c r="Q40" s="1396"/>
      <c r="R40" s="1397"/>
      <c r="S40" s="1392"/>
      <c r="T40" s="1393"/>
      <c r="U40" s="1394"/>
      <c r="V40" s="1385">
        <f>SUM(V38:X39)</f>
        <v>112789.46250000001</v>
      </c>
      <c r="W40" s="1386"/>
      <c r="X40" s="1386"/>
      <c r="Y40" s="111"/>
      <c r="Z40" s="3"/>
    </row>
    <row r="41" spans="1:26" ht="1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 customHeight="1" x14ac:dyDescent="0.3">
      <c r="A42" s="79"/>
      <c r="B42" s="30" t="s">
        <v>119</v>
      </c>
      <c r="C42" s="3"/>
      <c r="D42" s="3"/>
      <c r="E42" s="3"/>
      <c r="F42" s="3"/>
      <c r="G42" s="3"/>
      <c r="H42" s="3"/>
      <c r="I42" s="3"/>
      <c r="J42" s="3"/>
      <c r="K42" s="3"/>
      <c r="L42" s="3"/>
      <c r="M42" s="3"/>
      <c r="N42" s="3"/>
      <c r="O42" s="3"/>
      <c r="P42" s="3"/>
      <c r="Q42" s="3"/>
      <c r="R42" s="3"/>
      <c r="S42" s="3"/>
      <c r="T42" s="3"/>
      <c r="U42" s="3"/>
      <c r="V42" s="3"/>
      <c r="W42" s="3"/>
      <c r="X42" s="3"/>
      <c r="Y42" s="3"/>
      <c r="Z42" s="3"/>
    </row>
    <row r="43" spans="1:26" ht="15" customHeight="1" x14ac:dyDescent="0.3">
      <c r="A43" s="79"/>
      <c r="B43" s="114" t="s">
        <v>120</v>
      </c>
      <c r="C43" s="3"/>
      <c r="D43" s="3"/>
      <c r="E43" s="3"/>
      <c r="F43" s="3"/>
      <c r="G43" s="3"/>
      <c r="H43" s="3"/>
      <c r="I43" s="3"/>
      <c r="J43" s="3"/>
      <c r="K43" s="3"/>
      <c r="L43" s="3"/>
      <c r="M43" s="22"/>
      <c r="N43" s="3"/>
      <c r="O43" s="3"/>
      <c r="P43" s="3"/>
      <c r="Q43" s="3"/>
      <c r="R43" s="3"/>
      <c r="S43" s="3"/>
      <c r="T43" s="3"/>
      <c r="U43" s="3"/>
      <c r="V43" s="3"/>
      <c r="W43" s="3"/>
      <c r="X43" s="3"/>
      <c r="Y43" s="3"/>
      <c r="Z43" s="3"/>
    </row>
    <row r="44" spans="1:26" ht="15" customHeight="1" x14ac:dyDescent="0.3">
      <c r="A44" s="79"/>
      <c r="B44" s="31"/>
      <c r="C44" s="1350" t="s">
        <v>37</v>
      </c>
      <c r="D44" s="1350"/>
      <c r="E44" s="1350"/>
      <c r="F44" s="1350"/>
      <c r="G44" s="1350"/>
      <c r="H44" s="1350"/>
      <c r="I44" s="1351"/>
      <c r="J44" s="1202" t="s">
        <v>90</v>
      </c>
      <c r="K44" s="1354"/>
      <c r="L44" s="1355"/>
      <c r="M44" s="1202" t="s">
        <v>91</v>
      </c>
      <c r="N44" s="1354"/>
      <c r="O44" s="1355"/>
      <c r="P44" s="1202" t="s">
        <v>92</v>
      </c>
      <c r="Q44" s="1354"/>
      <c r="R44" s="1355"/>
      <c r="S44" s="1202" t="s">
        <v>93</v>
      </c>
      <c r="T44" s="1354"/>
      <c r="U44" s="1355"/>
      <c r="V44" s="1202" t="s">
        <v>94</v>
      </c>
      <c r="W44" s="1354"/>
      <c r="X44" s="1354"/>
      <c r="Y44" s="685"/>
      <c r="Z44" s="3"/>
    </row>
    <row r="45" spans="1:26" ht="15" customHeight="1" thickBot="1" x14ac:dyDescent="0.35">
      <c r="A45" s="79"/>
      <c r="B45" s="79"/>
      <c r="C45" s="1352"/>
      <c r="D45" s="1352"/>
      <c r="E45" s="1352"/>
      <c r="F45" s="1352"/>
      <c r="G45" s="1352"/>
      <c r="H45" s="1352"/>
      <c r="I45" s="1353"/>
      <c r="J45" s="1356"/>
      <c r="K45" s="1061"/>
      <c r="L45" s="1057"/>
      <c r="M45" s="1356"/>
      <c r="N45" s="1061"/>
      <c r="O45" s="1057"/>
      <c r="P45" s="1356"/>
      <c r="Q45" s="1061"/>
      <c r="R45" s="1057"/>
      <c r="S45" s="1356"/>
      <c r="T45" s="1061"/>
      <c r="U45" s="1057"/>
      <c r="V45" s="1356"/>
      <c r="W45" s="1061"/>
      <c r="X45" s="1061"/>
      <c r="Y45" s="685"/>
      <c r="Z45" s="3"/>
    </row>
    <row r="46" spans="1:26" ht="15" customHeight="1" x14ac:dyDescent="0.3">
      <c r="A46" s="79"/>
      <c r="B46" s="79"/>
      <c r="C46" s="1426" t="s">
        <v>85</v>
      </c>
      <c r="D46" s="1426"/>
      <c r="E46" s="1426"/>
      <c r="F46" s="1426"/>
      <c r="G46" s="1426"/>
      <c r="H46" s="1426"/>
      <c r="I46" s="1427"/>
      <c r="J46" s="1406">
        <v>4100</v>
      </c>
      <c r="K46" s="1407"/>
      <c r="L46" s="1408"/>
      <c r="M46" s="1400"/>
      <c r="N46" s="1401"/>
      <c r="O46" s="1402"/>
      <c r="P46" s="1342">
        <f>P10</f>
        <v>798381.81818181812</v>
      </c>
      <c r="Q46" s="1343"/>
      <c r="R46" s="1344"/>
      <c r="S46" s="1493">
        <f>S10</f>
        <v>0.13</v>
      </c>
      <c r="T46" s="1407"/>
      <c r="U46" s="1408"/>
      <c r="V46" s="1409">
        <f>P46*S46</f>
        <v>103789.63636363635</v>
      </c>
      <c r="W46" s="1410"/>
      <c r="X46" s="1410"/>
      <c r="Y46" s="736"/>
      <c r="Z46" s="3"/>
    </row>
    <row r="47" spans="1:26" ht="15" customHeight="1" x14ac:dyDescent="0.3">
      <c r="A47" s="79"/>
      <c r="B47" s="79"/>
      <c r="C47" s="1411" t="s">
        <v>86</v>
      </c>
      <c r="D47" s="1411"/>
      <c r="E47" s="1411"/>
      <c r="F47" s="1411"/>
      <c r="G47" s="1411"/>
      <c r="H47" s="1412" t="s">
        <v>87</v>
      </c>
      <c r="I47" s="1413"/>
      <c r="J47" s="1414">
        <f>J46*24%</f>
        <v>984</v>
      </c>
      <c r="K47" s="1415"/>
      <c r="L47" s="1416"/>
      <c r="M47" s="1417"/>
      <c r="N47" s="1418"/>
      <c r="O47" s="1419"/>
      <c r="P47" s="1420">
        <f>((('Scheme Entry - Baseline'!$W$46*1000)/('Scheme Entry - Baseline'!$W$9))*Overview!$E$29)*('Scheme Entry - Baseline'!$W$11/1000)*J47</f>
        <v>270424.28571428574</v>
      </c>
      <c r="Q47" s="1421"/>
      <c r="R47" s="1422"/>
      <c r="S47" s="1498">
        <f>S10</f>
        <v>0.13</v>
      </c>
      <c r="T47" s="1424"/>
      <c r="U47" s="1425"/>
      <c r="V47" s="1428">
        <f>P47*S47</f>
        <v>35155.157142857148</v>
      </c>
      <c r="W47" s="1429"/>
      <c r="X47" s="1429"/>
      <c r="Y47" s="690"/>
      <c r="Z47" s="3"/>
    </row>
    <row r="48" spans="1:26" ht="15" customHeight="1" x14ac:dyDescent="0.3">
      <c r="A48" s="79"/>
      <c r="B48" s="79"/>
      <c r="C48" s="1430"/>
      <c r="D48" s="1430"/>
      <c r="E48" s="1430"/>
      <c r="F48" s="1430"/>
      <c r="G48" s="1430"/>
      <c r="H48" s="1052" t="s">
        <v>88</v>
      </c>
      <c r="I48" s="1431"/>
      <c r="J48" s="1432">
        <f>J46*76%</f>
        <v>3116</v>
      </c>
      <c r="K48" s="1433"/>
      <c r="L48" s="1434"/>
      <c r="M48" s="1435">
        <v>0.25</v>
      </c>
      <c r="N48" s="1436"/>
      <c r="O48" s="1437"/>
      <c r="P48" s="1494">
        <f>((('Scheme Entry - Baseline'!$W$46*1000)/('Scheme Entry - Baseline'!$W$9))*Overview!$E$29)*('Scheme Entry - Baseline'!$W$11*J48/1000)*(100%-M48)</f>
        <v>642257.67857142864</v>
      </c>
      <c r="Q48" s="1495"/>
      <c r="R48" s="1496"/>
      <c r="S48" s="1497">
        <f>S10</f>
        <v>0.13</v>
      </c>
      <c r="T48" s="1442"/>
      <c r="U48" s="1443"/>
      <c r="V48" s="1444">
        <f>P48*S48</f>
        <v>83493.498214285719</v>
      </c>
      <c r="W48" s="1445"/>
      <c r="X48" s="1445"/>
      <c r="Y48" s="690"/>
      <c r="Z48" s="3"/>
    </row>
    <row r="49" spans="1:26" ht="15" customHeight="1" thickBot="1" x14ac:dyDescent="0.35">
      <c r="A49" s="79"/>
      <c r="B49" s="79"/>
      <c r="C49" s="1387"/>
      <c r="D49" s="1387"/>
      <c r="E49" s="1387"/>
      <c r="F49" s="1387"/>
      <c r="G49" s="1387"/>
      <c r="H49" s="1387"/>
      <c r="I49" s="1387"/>
      <c r="J49" s="1389">
        <f>SUM(J47:L48)</f>
        <v>4100</v>
      </c>
      <c r="K49" s="1390"/>
      <c r="L49" s="1391"/>
      <c r="M49" s="1392"/>
      <c r="N49" s="1393"/>
      <c r="O49" s="1394"/>
      <c r="P49" s="1395">
        <f>SUM(P47:R48)</f>
        <v>912681.96428571432</v>
      </c>
      <c r="Q49" s="1396"/>
      <c r="R49" s="1397"/>
      <c r="S49" s="1392"/>
      <c r="T49" s="1393"/>
      <c r="U49" s="1394"/>
      <c r="V49" s="1385">
        <f>SUM(V47:X48)</f>
        <v>118648.65535714287</v>
      </c>
      <c r="W49" s="1386"/>
      <c r="X49" s="1386"/>
      <c r="Y49" s="111"/>
      <c r="Z49" s="3"/>
    </row>
    <row r="50" spans="1:26" ht="15" customHeight="1" x14ac:dyDescent="0.3">
      <c r="A50" s="3"/>
      <c r="B50" s="930"/>
      <c r="C50" s="931"/>
      <c r="D50" s="931"/>
      <c r="E50" s="931"/>
      <c r="F50" s="931"/>
      <c r="G50" s="931"/>
      <c r="H50" s="931"/>
      <c r="I50" s="931"/>
      <c r="J50" s="931"/>
      <c r="K50" s="931"/>
      <c r="L50" s="931"/>
      <c r="M50" s="931"/>
      <c r="N50" s="931"/>
      <c r="O50" s="931"/>
      <c r="P50" s="931"/>
      <c r="Q50" s="931"/>
      <c r="R50" s="931"/>
      <c r="S50" s="931"/>
      <c r="T50" s="931"/>
      <c r="U50" s="931"/>
      <c r="V50" s="931"/>
      <c r="W50" s="931"/>
      <c r="X50" s="3"/>
      <c r="Y50" s="3"/>
      <c r="Z50" s="3"/>
    </row>
    <row r="51" spans="1:26" ht="15" customHeight="1" x14ac:dyDescent="0.3">
      <c r="A51" s="79"/>
      <c r="B51" s="116" t="s">
        <v>121</v>
      </c>
      <c r="C51" s="3"/>
      <c r="D51" s="3"/>
      <c r="E51" s="3"/>
      <c r="F51" s="3"/>
      <c r="G51" s="3"/>
      <c r="H51" s="3"/>
      <c r="I51" s="3"/>
      <c r="J51" s="3"/>
      <c r="K51" s="3"/>
      <c r="L51" s="3"/>
      <c r="M51" s="22"/>
      <c r="N51" s="3"/>
      <c r="O51" s="3"/>
      <c r="P51" s="3"/>
      <c r="Q51" s="3"/>
      <c r="R51" s="3"/>
      <c r="S51" s="3"/>
      <c r="T51" s="3"/>
      <c r="U51" s="3"/>
      <c r="V51" s="3"/>
      <c r="W51" s="3"/>
      <c r="X51" s="3"/>
      <c r="Y51" s="3"/>
      <c r="Z51" s="3"/>
    </row>
    <row r="52" spans="1:26" ht="15" customHeight="1" x14ac:dyDescent="0.3">
      <c r="A52" s="79"/>
      <c r="B52" s="31"/>
      <c r="C52" s="1350" t="s">
        <v>37</v>
      </c>
      <c r="D52" s="1350"/>
      <c r="E52" s="1350"/>
      <c r="F52" s="1350"/>
      <c r="G52" s="1350"/>
      <c r="H52" s="1350"/>
      <c r="I52" s="1351"/>
      <c r="J52" s="1202" t="s">
        <v>90</v>
      </c>
      <c r="K52" s="1354"/>
      <c r="L52" s="1355"/>
      <c r="M52" s="1202" t="s">
        <v>91</v>
      </c>
      <c r="N52" s="1354"/>
      <c r="O52" s="1355"/>
      <c r="P52" s="1202" t="s">
        <v>92</v>
      </c>
      <c r="Q52" s="1354"/>
      <c r="R52" s="1355"/>
      <c r="S52" s="1202" t="s">
        <v>93</v>
      </c>
      <c r="T52" s="1354"/>
      <c r="U52" s="1355"/>
      <c r="V52" s="1202" t="s">
        <v>94</v>
      </c>
      <c r="W52" s="1354"/>
      <c r="X52" s="1354"/>
      <c r="Y52" s="685"/>
      <c r="Z52" s="3"/>
    </row>
    <row r="53" spans="1:26" ht="15" customHeight="1" thickBot="1" x14ac:dyDescent="0.35">
      <c r="A53" s="79"/>
      <c r="B53" s="79"/>
      <c r="C53" s="1352"/>
      <c r="D53" s="1352"/>
      <c r="E53" s="1352"/>
      <c r="F53" s="1352"/>
      <c r="G53" s="1352"/>
      <c r="H53" s="1352"/>
      <c r="I53" s="1353"/>
      <c r="J53" s="1356"/>
      <c r="K53" s="1061"/>
      <c r="L53" s="1057"/>
      <c r="M53" s="1356"/>
      <c r="N53" s="1061"/>
      <c r="O53" s="1057"/>
      <c r="P53" s="1356"/>
      <c r="Q53" s="1061"/>
      <c r="R53" s="1057"/>
      <c r="S53" s="1356"/>
      <c r="T53" s="1061"/>
      <c r="U53" s="1057"/>
      <c r="V53" s="1356"/>
      <c r="W53" s="1061"/>
      <c r="X53" s="1061"/>
      <c r="Y53" s="685"/>
      <c r="Z53" s="3"/>
    </row>
    <row r="54" spans="1:26" ht="15" customHeight="1" x14ac:dyDescent="0.3">
      <c r="A54" s="79"/>
      <c r="B54" s="79"/>
      <c r="C54" s="1426" t="s">
        <v>85</v>
      </c>
      <c r="D54" s="1426"/>
      <c r="E54" s="1426"/>
      <c r="F54" s="1426"/>
      <c r="G54" s="1426"/>
      <c r="H54" s="1426"/>
      <c r="I54" s="1427"/>
      <c r="J54" s="1406">
        <v>4100</v>
      </c>
      <c r="K54" s="1407"/>
      <c r="L54" s="1408"/>
      <c r="M54" s="1400"/>
      <c r="N54" s="1401"/>
      <c r="O54" s="1402"/>
      <c r="P54" s="1403">
        <f>P10</f>
        <v>798381.81818181812</v>
      </c>
      <c r="Q54" s="1404"/>
      <c r="R54" s="1405"/>
      <c r="S54" s="1493">
        <f>S10</f>
        <v>0.13</v>
      </c>
      <c r="T54" s="1407"/>
      <c r="U54" s="1408"/>
      <c r="V54" s="1409">
        <f>P54*S54</f>
        <v>103789.63636363635</v>
      </c>
      <c r="W54" s="1410"/>
      <c r="X54" s="1410"/>
      <c r="Y54" s="736"/>
      <c r="Z54" s="3"/>
    </row>
    <row r="55" spans="1:26" ht="15" customHeight="1" x14ac:dyDescent="0.3">
      <c r="A55" s="79"/>
      <c r="B55" s="79"/>
      <c r="C55" s="1411" t="s">
        <v>86</v>
      </c>
      <c r="D55" s="1411"/>
      <c r="E55" s="1411"/>
      <c r="F55" s="1411"/>
      <c r="G55" s="1411"/>
      <c r="H55" s="1412" t="s">
        <v>87</v>
      </c>
      <c r="I55" s="1413"/>
      <c r="J55" s="1452">
        <f>J47</f>
        <v>984</v>
      </c>
      <c r="K55" s="1453"/>
      <c r="L55" s="1454"/>
      <c r="M55" s="1417"/>
      <c r="N55" s="1418"/>
      <c r="O55" s="1419"/>
      <c r="P55" s="1420">
        <f>((('Scheme Entry - Baseline'!$W$46*1000)/('Scheme Entry - Baseline'!$W$9))*Overview!$E$29)*('Scheme Entry - Baseline'!$W$11/1000)*J55</f>
        <v>270424.28571428574</v>
      </c>
      <c r="Q55" s="1421"/>
      <c r="R55" s="1422"/>
      <c r="S55" s="1498">
        <f>S10</f>
        <v>0.13</v>
      </c>
      <c r="T55" s="1424"/>
      <c r="U55" s="1425"/>
      <c r="V55" s="1428">
        <f>P55*S55</f>
        <v>35155.157142857148</v>
      </c>
      <c r="W55" s="1429"/>
      <c r="X55" s="1429"/>
      <c r="Y55" s="690"/>
      <c r="Z55" s="3"/>
    </row>
    <row r="56" spans="1:26" ht="15" customHeight="1" x14ac:dyDescent="0.3">
      <c r="A56" s="79"/>
      <c r="B56" s="79"/>
      <c r="C56" s="1430"/>
      <c r="D56" s="1430"/>
      <c r="E56" s="1430"/>
      <c r="F56" s="1430"/>
      <c r="G56" s="1430"/>
      <c r="H56" s="1052" t="s">
        <v>88</v>
      </c>
      <c r="I56" s="1431"/>
      <c r="J56" s="1449">
        <f>J48</f>
        <v>3116</v>
      </c>
      <c r="K56" s="1450"/>
      <c r="L56" s="1451"/>
      <c r="M56" s="1435">
        <v>0.33</v>
      </c>
      <c r="N56" s="1436"/>
      <c r="O56" s="1437"/>
      <c r="P56" s="1494">
        <f>((('Scheme Entry - Baseline'!$W$46*1000)/('Scheme Entry - Baseline'!$W$9))*Overview!$E$29)*('Scheme Entry - Baseline'!$W$11*J56/1000)*(100%-M56)</f>
        <v>573750.19285714289</v>
      </c>
      <c r="Q56" s="1495"/>
      <c r="R56" s="1496"/>
      <c r="S56" s="1497">
        <f>S10</f>
        <v>0.13</v>
      </c>
      <c r="T56" s="1442"/>
      <c r="U56" s="1443"/>
      <c r="V56" s="1444">
        <f>P56*S56</f>
        <v>74587.525071428579</v>
      </c>
      <c r="W56" s="1445"/>
      <c r="X56" s="1445"/>
      <c r="Y56" s="690"/>
      <c r="Z56" s="3"/>
    </row>
    <row r="57" spans="1:26" ht="15" customHeight="1" thickBot="1" x14ac:dyDescent="0.35">
      <c r="A57" s="79"/>
      <c r="B57" s="79"/>
      <c r="C57" s="1387"/>
      <c r="D57" s="1387"/>
      <c r="E57" s="1387"/>
      <c r="F57" s="1387"/>
      <c r="G57" s="1387"/>
      <c r="H57" s="1387"/>
      <c r="I57" s="1387"/>
      <c r="J57" s="1389">
        <f>SUM(J55:L56)</f>
        <v>4100</v>
      </c>
      <c r="K57" s="1390"/>
      <c r="L57" s="1391"/>
      <c r="M57" s="1392"/>
      <c r="N57" s="1393"/>
      <c r="O57" s="1394"/>
      <c r="P57" s="1395">
        <f>SUM(P55:R56)</f>
        <v>844174.47857142868</v>
      </c>
      <c r="Q57" s="1396"/>
      <c r="R57" s="1397"/>
      <c r="S57" s="1392"/>
      <c r="T57" s="1393"/>
      <c r="U57" s="1394"/>
      <c r="V57" s="1385">
        <f>SUM(V55:X56)</f>
        <v>109742.68221428573</v>
      </c>
      <c r="W57" s="1386"/>
      <c r="X57" s="1386"/>
      <c r="Y57" s="111"/>
      <c r="Z57" s="3"/>
    </row>
    <row r="58" spans="1:26" ht="15" customHeight="1" x14ac:dyDescent="0.3">
      <c r="A58" s="3"/>
      <c r="B58" s="930"/>
      <c r="C58" s="931"/>
      <c r="D58" s="931"/>
      <c r="E58" s="931"/>
      <c r="F58" s="931"/>
      <c r="G58" s="931"/>
      <c r="H58" s="931"/>
      <c r="I58" s="931"/>
      <c r="J58" s="931"/>
      <c r="K58" s="931"/>
      <c r="L58" s="931"/>
      <c r="M58" s="931"/>
      <c r="N58" s="931"/>
      <c r="O58" s="931"/>
      <c r="P58" s="931"/>
      <c r="Q58" s="931"/>
      <c r="R58" s="931"/>
      <c r="S58" s="931"/>
      <c r="T58" s="931"/>
      <c r="U58" s="931"/>
      <c r="V58" s="931"/>
      <c r="W58" s="931"/>
      <c r="X58" s="3"/>
      <c r="Y58" s="3"/>
      <c r="Z58" s="3"/>
    </row>
    <row r="59" spans="1:26" ht="15" customHeight="1" x14ac:dyDescent="0.3">
      <c r="A59" s="3"/>
      <c r="B59" s="677"/>
      <c r="C59" s="677"/>
      <c r="D59" s="677"/>
      <c r="E59" s="677"/>
      <c r="F59" s="677"/>
      <c r="G59" s="677"/>
      <c r="H59" s="677"/>
      <c r="I59" s="677"/>
      <c r="J59" s="677"/>
      <c r="K59" s="677"/>
      <c r="L59" s="677"/>
      <c r="M59" s="677"/>
      <c r="N59" s="677"/>
      <c r="O59" s="677"/>
      <c r="P59" s="677"/>
      <c r="Q59" s="677"/>
      <c r="R59" s="677"/>
      <c r="S59" s="677"/>
      <c r="T59" s="677"/>
      <c r="U59" s="677"/>
      <c r="V59" s="677"/>
      <c r="W59" s="677"/>
      <c r="X59" s="3"/>
      <c r="Y59" s="3"/>
      <c r="Z59" s="3"/>
    </row>
    <row r="60" spans="1:26" ht="15" customHeight="1" x14ac:dyDescent="0.3">
      <c r="A60" s="3"/>
      <c r="B60" s="677"/>
      <c r="C60" s="677"/>
      <c r="D60" s="677"/>
      <c r="E60" s="677"/>
      <c r="F60" s="677"/>
      <c r="G60" s="677"/>
      <c r="H60" s="677"/>
      <c r="I60" s="677"/>
      <c r="J60" s="677"/>
      <c r="K60" s="677"/>
      <c r="L60" s="677"/>
      <c r="M60" s="677"/>
      <c r="N60" s="677"/>
      <c r="O60" s="677"/>
      <c r="P60" s="677"/>
      <c r="Q60" s="677"/>
      <c r="R60" s="677"/>
      <c r="S60" s="677"/>
      <c r="T60" s="677"/>
      <c r="U60" s="677"/>
      <c r="V60" s="677"/>
      <c r="W60" s="677"/>
      <c r="X60" s="3"/>
      <c r="Y60" s="3"/>
      <c r="Z60" s="3"/>
    </row>
    <row r="61" spans="1:26" ht="15" customHeight="1" x14ac:dyDescent="0.3">
      <c r="A61" s="3"/>
      <c r="B61" s="677"/>
      <c r="C61" s="677"/>
      <c r="D61" s="677"/>
      <c r="E61" s="677"/>
      <c r="F61" s="677"/>
      <c r="G61" s="677"/>
      <c r="H61" s="677"/>
      <c r="I61" s="677"/>
      <c r="J61" s="677"/>
      <c r="K61" s="677"/>
      <c r="L61" s="677"/>
      <c r="M61" s="677"/>
      <c r="N61" s="677"/>
      <c r="O61" s="677"/>
      <c r="P61" s="677"/>
      <c r="Q61" s="677"/>
      <c r="R61" s="677"/>
      <c r="S61" s="677"/>
      <c r="T61" s="677"/>
      <c r="U61" s="677"/>
      <c r="V61" s="677"/>
      <c r="W61" s="677"/>
      <c r="X61" s="3"/>
      <c r="Y61" s="3"/>
      <c r="Z61" s="3"/>
    </row>
    <row r="62" spans="1:26" ht="15" customHeight="1" x14ac:dyDescent="0.3">
      <c r="A62" s="3"/>
      <c r="B62" s="485"/>
      <c r="C62" s="485"/>
      <c r="D62" s="485"/>
      <c r="E62" s="485"/>
      <c r="F62" s="485"/>
      <c r="G62" s="485"/>
      <c r="H62" s="485"/>
      <c r="I62" s="485"/>
      <c r="J62" s="485"/>
      <c r="K62" s="485"/>
      <c r="L62" s="485"/>
      <c r="M62" s="485"/>
      <c r="N62" s="485"/>
      <c r="O62" s="485"/>
      <c r="P62" s="485"/>
      <c r="Q62" s="485"/>
      <c r="R62" s="485"/>
      <c r="S62" s="485"/>
      <c r="T62" s="485"/>
      <c r="U62" s="485"/>
      <c r="V62" s="485"/>
      <c r="W62" s="485"/>
      <c r="X62" s="3"/>
      <c r="Y62" s="3"/>
      <c r="Z62" s="3"/>
    </row>
    <row r="63" spans="1:26" ht="15" customHeight="1" x14ac:dyDescent="0.3">
      <c r="A63" s="3"/>
      <c r="B63" s="485"/>
      <c r="C63" s="485"/>
      <c r="D63" s="485"/>
      <c r="E63" s="485"/>
      <c r="F63" s="485"/>
      <c r="G63" s="485"/>
      <c r="H63" s="485"/>
      <c r="I63" s="485"/>
      <c r="J63" s="485"/>
      <c r="K63" s="485"/>
      <c r="L63" s="485"/>
      <c r="M63" s="485"/>
      <c r="N63" s="485"/>
      <c r="O63" s="485"/>
      <c r="P63" s="485"/>
      <c r="Q63" s="485"/>
      <c r="R63" s="485"/>
      <c r="S63" s="485"/>
      <c r="T63" s="485"/>
      <c r="U63" s="485"/>
      <c r="V63" s="485"/>
      <c r="W63" s="485"/>
      <c r="X63" s="3"/>
      <c r="Y63" s="3"/>
      <c r="Z63" s="3"/>
    </row>
    <row r="64" spans="1:26" ht="15" customHeight="1" x14ac:dyDescent="0.3">
      <c r="A64" s="15"/>
      <c r="B64" s="107"/>
      <c r="C64" s="107"/>
      <c r="D64" s="107"/>
      <c r="E64" s="107"/>
      <c r="F64" s="107"/>
      <c r="G64" s="107"/>
      <c r="H64" s="107"/>
      <c r="I64" s="107"/>
      <c r="J64" s="107"/>
      <c r="K64" s="107"/>
      <c r="L64" s="107"/>
      <c r="M64" s="107"/>
      <c r="N64" s="107"/>
      <c r="O64" s="107"/>
      <c r="P64" s="107"/>
      <c r="Q64" s="107"/>
      <c r="R64" s="107"/>
      <c r="S64" s="107"/>
      <c r="T64" s="107"/>
      <c r="U64" s="107"/>
      <c r="V64" s="107"/>
      <c r="W64" s="107"/>
      <c r="X64" s="15"/>
      <c r="Y64" s="15"/>
      <c r="Z64" s="15"/>
    </row>
    <row r="65" spans="1:26" ht="15" customHeight="1" x14ac:dyDescent="0.3">
      <c r="A65" s="1"/>
      <c r="B65" s="108"/>
      <c r="C65" s="108"/>
      <c r="D65" s="108"/>
      <c r="E65" s="108"/>
      <c r="F65" s="108"/>
      <c r="G65" s="108"/>
      <c r="H65" s="108"/>
      <c r="I65" s="108"/>
      <c r="J65" s="108"/>
      <c r="K65" s="108"/>
      <c r="L65" s="108"/>
      <c r="M65" s="108"/>
      <c r="N65" s="108"/>
      <c r="O65" s="108"/>
      <c r="P65" s="108"/>
      <c r="Q65" s="108"/>
      <c r="R65" s="108"/>
      <c r="S65" s="108"/>
      <c r="T65" s="108"/>
      <c r="U65" s="108"/>
      <c r="V65" s="108"/>
      <c r="W65" s="108"/>
      <c r="X65" s="1"/>
      <c r="Y65" s="1"/>
      <c r="Z65" s="1"/>
    </row>
    <row r="66" spans="1:26" ht="15" customHeight="1" x14ac:dyDescent="0.3">
      <c r="A66" s="79"/>
      <c r="B66" s="117" t="s">
        <v>122</v>
      </c>
      <c r="C66" s="3"/>
      <c r="D66" s="3"/>
      <c r="E66" s="3"/>
      <c r="F66" s="3"/>
      <c r="G66" s="3"/>
      <c r="H66" s="3"/>
      <c r="I66" s="3"/>
      <c r="J66" s="3"/>
      <c r="K66" s="3"/>
      <c r="L66" s="3"/>
      <c r="M66" s="22"/>
      <c r="N66" s="3"/>
      <c r="O66" s="3"/>
      <c r="P66" s="3"/>
      <c r="Q66" s="3"/>
      <c r="R66" s="3"/>
      <c r="S66" s="3"/>
      <c r="T66" s="3"/>
      <c r="U66" s="3"/>
      <c r="V66" s="3"/>
      <c r="W66" s="3"/>
      <c r="X66" s="3"/>
      <c r="Y66" s="3"/>
      <c r="Z66" s="3"/>
    </row>
    <row r="67" spans="1:26" ht="15" customHeight="1" x14ac:dyDescent="0.3">
      <c r="A67" s="79"/>
      <c r="B67" s="31"/>
      <c r="C67" s="1350" t="s">
        <v>37</v>
      </c>
      <c r="D67" s="1350"/>
      <c r="E67" s="1350"/>
      <c r="F67" s="1350"/>
      <c r="G67" s="1350"/>
      <c r="H67" s="1350"/>
      <c r="I67" s="1351"/>
      <c r="J67" s="1202" t="s">
        <v>90</v>
      </c>
      <c r="K67" s="1354"/>
      <c r="L67" s="1355"/>
      <c r="M67" s="1202" t="s">
        <v>91</v>
      </c>
      <c r="N67" s="1354"/>
      <c r="O67" s="1355"/>
      <c r="P67" s="1202" t="s">
        <v>92</v>
      </c>
      <c r="Q67" s="1354"/>
      <c r="R67" s="1355"/>
      <c r="S67" s="1202" t="s">
        <v>93</v>
      </c>
      <c r="T67" s="1354"/>
      <c r="U67" s="1355"/>
      <c r="V67" s="1202" t="s">
        <v>94</v>
      </c>
      <c r="W67" s="1354"/>
      <c r="X67" s="1354"/>
      <c r="Y67" s="685"/>
      <c r="Z67" s="3"/>
    </row>
    <row r="68" spans="1:26" ht="15" customHeight="1" thickBot="1" x14ac:dyDescent="0.35">
      <c r="A68" s="79"/>
      <c r="B68" s="79"/>
      <c r="C68" s="1352"/>
      <c r="D68" s="1352"/>
      <c r="E68" s="1352"/>
      <c r="F68" s="1352"/>
      <c r="G68" s="1352"/>
      <c r="H68" s="1352"/>
      <c r="I68" s="1353"/>
      <c r="J68" s="1356"/>
      <c r="K68" s="1061"/>
      <c r="L68" s="1057"/>
      <c r="M68" s="1356"/>
      <c r="N68" s="1061"/>
      <c r="O68" s="1057"/>
      <c r="P68" s="1356"/>
      <c r="Q68" s="1061"/>
      <c r="R68" s="1057"/>
      <c r="S68" s="1356"/>
      <c r="T68" s="1061"/>
      <c r="U68" s="1057"/>
      <c r="V68" s="1356"/>
      <c r="W68" s="1061"/>
      <c r="X68" s="1061"/>
      <c r="Y68" s="685"/>
      <c r="Z68" s="3"/>
    </row>
    <row r="69" spans="1:26" ht="15" customHeight="1" x14ac:dyDescent="0.3">
      <c r="A69" s="79"/>
      <c r="B69" s="79"/>
      <c r="C69" s="1426" t="s">
        <v>85</v>
      </c>
      <c r="D69" s="1426"/>
      <c r="E69" s="1426"/>
      <c r="F69" s="1426"/>
      <c r="G69" s="1426"/>
      <c r="H69" s="1426"/>
      <c r="I69" s="1427"/>
      <c r="J69" s="1406">
        <v>4100</v>
      </c>
      <c r="K69" s="1407"/>
      <c r="L69" s="1408"/>
      <c r="M69" s="1400"/>
      <c r="N69" s="1401"/>
      <c r="O69" s="1402"/>
      <c r="P69" s="1342">
        <f>P10</f>
        <v>798381.81818181812</v>
      </c>
      <c r="Q69" s="1343"/>
      <c r="R69" s="1344"/>
      <c r="S69" s="1493">
        <f>S10</f>
        <v>0.13</v>
      </c>
      <c r="T69" s="1407"/>
      <c r="U69" s="1408"/>
      <c r="V69" s="1409">
        <f>P69*S69</f>
        <v>103789.63636363635</v>
      </c>
      <c r="W69" s="1410"/>
      <c r="X69" s="1410"/>
      <c r="Y69" s="736"/>
      <c r="Z69" s="3"/>
    </row>
    <row r="70" spans="1:26" ht="15" customHeight="1" x14ac:dyDescent="0.3">
      <c r="A70" s="79"/>
      <c r="B70" s="79"/>
      <c r="C70" s="1411" t="s">
        <v>86</v>
      </c>
      <c r="D70" s="1411"/>
      <c r="E70" s="1411"/>
      <c r="F70" s="1411"/>
      <c r="G70" s="1411"/>
      <c r="H70" s="1412" t="s">
        <v>87</v>
      </c>
      <c r="I70" s="1413"/>
      <c r="J70" s="1452">
        <f>J47</f>
        <v>984</v>
      </c>
      <c r="K70" s="1453"/>
      <c r="L70" s="1454"/>
      <c r="M70" s="1417"/>
      <c r="N70" s="1418"/>
      <c r="O70" s="1419"/>
      <c r="P70" s="1420">
        <f>((('Scheme Entry - Baseline'!$W$46*1000)/('Scheme Entry - Baseline'!$W$9))*Overview!$E$29)*('Scheme Entry - Baseline'!$W$11/1000)*J70</f>
        <v>270424.28571428574</v>
      </c>
      <c r="Q70" s="1421"/>
      <c r="R70" s="1422"/>
      <c r="S70" s="1498">
        <f>S10</f>
        <v>0.13</v>
      </c>
      <c r="T70" s="1424"/>
      <c r="U70" s="1425"/>
      <c r="V70" s="1428">
        <f>P70*S70</f>
        <v>35155.157142857148</v>
      </c>
      <c r="W70" s="1429"/>
      <c r="X70" s="1429"/>
      <c r="Y70" s="690"/>
      <c r="Z70" s="3"/>
    </row>
    <row r="71" spans="1:26" ht="15" customHeight="1" x14ac:dyDescent="0.3">
      <c r="A71" s="79"/>
      <c r="B71" s="79"/>
      <c r="C71" s="1430"/>
      <c r="D71" s="1430"/>
      <c r="E71" s="1430"/>
      <c r="F71" s="1430"/>
      <c r="G71" s="1430"/>
      <c r="H71" s="1052" t="s">
        <v>88</v>
      </c>
      <c r="I71" s="1431"/>
      <c r="J71" s="1449">
        <f>J48</f>
        <v>3116</v>
      </c>
      <c r="K71" s="1450"/>
      <c r="L71" s="1451"/>
      <c r="M71" s="1435">
        <v>0.5</v>
      </c>
      <c r="N71" s="1436"/>
      <c r="O71" s="1437"/>
      <c r="P71" s="1494">
        <f>((('Scheme Entry - Baseline'!$W$46*1000)/('Scheme Entry - Baseline'!$W$9))*Overview!$E$29)*('Scheme Entry - Baseline'!$W$11*J71/1000)*(100%-M71)</f>
        <v>428171.78571428574</v>
      </c>
      <c r="Q71" s="1495"/>
      <c r="R71" s="1496"/>
      <c r="S71" s="1497">
        <f>S10</f>
        <v>0.13</v>
      </c>
      <c r="T71" s="1442"/>
      <c r="U71" s="1443"/>
      <c r="V71" s="1444">
        <f>P71*S71</f>
        <v>55662.332142857151</v>
      </c>
      <c r="W71" s="1445"/>
      <c r="X71" s="1445"/>
      <c r="Y71" s="690"/>
      <c r="Z71" s="3"/>
    </row>
    <row r="72" spans="1:26" ht="15" customHeight="1" thickBot="1" x14ac:dyDescent="0.35">
      <c r="A72" s="79"/>
      <c r="B72" s="79"/>
      <c r="C72" s="1387"/>
      <c r="D72" s="1387"/>
      <c r="E72" s="1387"/>
      <c r="F72" s="1387"/>
      <c r="G72" s="1387"/>
      <c r="H72" s="1387"/>
      <c r="I72" s="1387"/>
      <c r="J72" s="1389">
        <f>SUM(J70:L71)</f>
        <v>4100</v>
      </c>
      <c r="K72" s="1390"/>
      <c r="L72" s="1391"/>
      <c r="M72" s="1392"/>
      <c r="N72" s="1393"/>
      <c r="O72" s="1394"/>
      <c r="P72" s="1395">
        <f>SUM(P70:R71)</f>
        <v>698596.07142857148</v>
      </c>
      <c r="Q72" s="1396"/>
      <c r="R72" s="1397"/>
      <c r="S72" s="1392"/>
      <c r="T72" s="1393"/>
      <c r="U72" s="1394"/>
      <c r="V72" s="1385">
        <f>SUM(V70:X71)</f>
        <v>90817.489285714299</v>
      </c>
      <c r="W72" s="1386"/>
      <c r="X72" s="1386"/>
      <c r="Y72" s="111"/>
      <c r="Z72" s="3"/>
    </row>
    <row r="73" spans="1:26" ht="15" customHeight="1" x14ac:dyDescent="0.3">
      <c r="A73" s="79"/>
      <c r="B73" s="79"/>
      <c r="C73" s="487"/>
      <c r="D73" s="487"/>
      <c r="E73" s="487"/>
      <c r="F73" s="487"/>
      <c r="G73" s="487"/>
      <c r="H73" s="487"/>
      <c r="I73" s="487"/>
      <c r="J73" s="109"/>
      <c r="K73" s="109"/>
      <c r="L73" s="109"/>
      <c r="M73" s="488"/>
      <c r="N73" s="488"/>
      <c r="O73" s="488"/>
      <c r="P73" s="110"/>
      <c r="Q73" s="110"/>
      <c r="R73" s="110"/>
      <c r="S73" s="488"/>
      <c r="T73" s="488"/>
      <c r="U73" s="488"/>
      <c r="V73" s="111"/>
      <c r="W73" s="111"/>
      <c r="X73" s="111"/>
      <c r="Y73" s="111"/>
      <c r="Z73" s="3"/>
    </row>
    <row r="74" spans="1:26" ht="15" customHeight="1" x14ac:dyDescent="0.3">
      <c r="A74" s="79"/>
      <c r="B74" s="30" t="s">
        <v>123</v>
      </c>
      <c r="C74" s="3"/>
      <c r="D74" s="3"/>
      <c r="E74" s="3"/>
      <c r="F74" s="3"/>
      <c r="G74" s="3"/>
      <c r="H74" s="3"/>
      <c r="I74" s="3"/>
      <c r="J74" s="3"/>
      <c r="K74" s="3"/>
      <c r="L74" s="3"/>
      <c r="M74" s="3"/>
      <c r="N74" s="3"/>
      <c r="O74" s="3"/>
      <c r="P74" s="3"/>
      <c r="Q74" s="3"/>
      <c r="R74" s="3"/>
      <c r="S74" s="3"/>
      <c r="T74" s="3"/>
      <c r="U74" s="3"/>
      <c r="V74" s="3"/>
      <c r="W74" s="3"/>
      <c r="X74" s="3"/>
      <c r="Y74" s="3"/>
      <c r="Z74" s="3"/>
    </row>
    <row r="75" spans="1:26" ht="15" customHeight="1" x14ac:dyDescent="0.3">
      <c r="A75" s="79"/>
      <c r="B75" s="120" t="s">
        <v>126</v>
      </c>
      <c r="C75" s="3"/>
      <c r="D75" s="3"/>
      <c r="E75" s="3"/>
      <c r="F75" s="3"/>
      <c r="G75" s="3"/>
      <c r="H75" s="3"/>
      <c r="I75" s="3"/>
      <c r="J75" s="3"/>
      <c r="K75" s="3"/>
      <c r="L75" s="3"/>
      <c r="M75" s="22"/>
      <c r="N75" s="3"/>
      <c r="O75" s="3"/>
      <c r="P75" s="3"/>
      <c r="Q75" s="3"/>
      <c r="R75" s="3"/>
      <c r="S75" s="3"/>
      <c r="T75" s="3"/>
      <c r="U75" s="3"/>
      <c r="V75" s="3"/>
      <c r="W75" s="3"/>
      <c r="X75" s="3"/>
      <c r="Y75" s="3"/>
      <c r="Z75" s="3"/>
    </row>
    <row r="76" spans="1:26" ht="15" customHeight="1" x14ac:dyDescent="0.3">
      <c r="A76" s="79"/>
      <c r="B76" s="31"/>
      <c r="C76" s="1350" t="s">
        <v>37</v>
      </c>
      <c r="D76" s="1350"/>
      <c r="E76" s="1350"/>
      <c r="F76" s="1350"/>
      <c r="G76" s="1350"/>
      <c r="H76" s="1350"/>
      <c r="I76" s="1351"/>
      <c r="J76" s="1202" t="s">
        <v>90</v>
      </c>
      <c r="K76" s="1354"/>
      <c r="L76" s="1355"/>
      <c r="M76" s="1202" t="s">
        <v>91</v>
      </c>
      <c r="N76" s="1354"/>
      <c r="O76" s="1355"/>
      <c r="P76" s="1202" t="s">
        <v>92</v>
      </c>
      <c r="Q76" s="1354"/>
      <c r="R76" s="1355"/>
      <c r="S76" s="1202" t="s">
        <v>93</v>
      </c>
      <c r="T76" s="1354"/>
      <c r="U76" s="1355"/>
      <c r="V76" s="1202" t="s">
        <v>94</v>
      </c>
      <c r="W76" s="1354"/>
      <c r="X76" s="1354"/>
      <c r="Y76" s="685"/>
      <c r="Z76" s="3"/>
    </row>
    <row r="77" spans="1:26" ht="15" customHeight="1" thickBot="1" x14ac:dyDescent="0.35">
      <c r="A77" s="79"/>
      <c r="B77" s="79"/>
      <c r="C77" s="1352"/>
      <c r="D77" s="1352"/>
      <c r="E77" s="1352"/>
      <c r="F77" s="1352"/>
      <c r="G77" s="1352"/>
      <c r="H77" s="1352"/>
      <c r="I77" s="1353"/>
      <c r="J77" s="1356"/>
      <c r="K77" s="1061"/>
      <c r="L77" s="1057"/>
      <c r="M77" s="1356"/>
      <c r="N77" s="1061"/>
      <c r="O77" s="1057"/>
      <c r="P77" s="1356"/>
      <c r="Q77" s="1061"/>
      <c r="R77" s="1057"/>
      <c r="S77" s="1356"/>
      <c r="T77" s="1061"/>
      <c r="U77" s="1057"/>
      <c r="V77" s="1356"/>
      <c r="W77" s="1061"/>
      <c r="X77" s="1061"/>
      <c r="Y77" s="685"/>
      <c r="Z77" s="3"/>
    </row>
    <row r="78" spans="1:26" ht="15" customHeight="1" x14ac:dyDescent="0.3">
      <c r="A78" s="79"/>
      <c r="B78" s="79"/>
      <c r="C78" s="1426" t="s">
        <v>85</v>
      </c>
      <c r="D78" s="1426"/>
      <c r="E78" s="1426"/>
      <c r="F78" s="1426"/>
      <c r="G78" s="1426"/>
      <c r="H78" s="1426"/>
      <c r="I78" s="1427"/>
      <c r="J78" s="1406">
        <v>4100</v>
      </c>
      <c r="K78" s="1407"/>
      <c r="L78" s="1408"/>
      <c r="M78" s="1400"/>
      <c r="N78" s="1401"/>
      <c r="O78" s="1402"/>
      <c r="P78" s="1342">
        <f>P10</f>
        <v>798381.81818181812</v>
      </c>
      <c r="Q78" s="1343"/>
      <c r="R78" s="1344"/>
      <c r="S78" s="1493">
        <f>S10</f>
        <v>0.13</v>
      </c>
      <c r="T78" s="1407"/>
      <c r="U78" s="1408"/>
      <c r="V78" s="1409">
        <f>P78*S78</f>
        <v>103789.63636363635</v>
      </c>
      <c r="W78" s="1410"/>
      <c r="X78" s="1410"/>
      <c r="Y78" s="736"/>
      <c r="Z78" s="3"/>
    </row>
    <row r="79" spans="1:26" ht="15" customHeight="1" x14ac:dyDescent="0.3">
      <c r="A79" s="79"/>
      <c r="B79" s="79"/>
      <c r="C79" s="1411" t="s">
        <v>86</v>
      </c>
      <c r="D79" s="1411"/>
      <c r="E79" s="1411"/>
      <c r="F79" s="1411"/>
      <c r="G79" s="1411"/>
      <c r="H79" s="1412" t="s">
        <v>87</v>
      </c>
      <c r="I79" s="1413"/>
      <c r="J79" s="1414">
        <f>J78*19%</f>
        <v>779</v>
      </c>
      <c r="K79" s="1415"/>
      <c r="L79" s="1416"/>
      <c r="M79" s="1417"/>
      <c r="N79" s="1418"/>
      <c r="O79" s="1419"/>
      <c r="P79" s="1420">
        <f>((('Scheme Entry - Baseline'!$W$46*1000)/('Scheme Entry - Baseline'!$W$9))*Overview!$E$29)*('Scheme Entry - Baseline'!$W$11/1000)*J79</f>
        <v>214085.8928571429</v>
      </c>
      <c r="Q79" s="1421"/>
      <c r="R79" s="1422"/>
      <c r="S79" s="1498">
        <f>S10</f>
        <v>0.13</v>
      </c>
      <c r="T79" s="1424"/>
      <c r="U79" s="1425"/>
      <c r="V79" s="1428">
        <f>P79*S79</f>
        <v>27831.166071428579</v>
      </c>
      <c r="W79" s="1429"/>
      <c r="X79" s="1429"/>
      <c r="Y79" s="690"/>
      <c r="Z79" s="3"/>
    </row>
    <row r="80" spans="1:26" ht="15" customHeight="1" x14ac:dyDescent="0.3">
      <c r="A80" s="79"/>
      <c r="B80" s="79"/>
      <c r="C80" s="1430"/>
      <c r="D80" s="1430"/>
      <c r="E80" s="1430"/>
      <c r="F80" s="1430"/>
      <c r="G80" s="1430"/>
      <c r="H80" s="1052" t="s">
        <v>124</v>
      </c>
      <c r="I80" s="1431"/>
      <c r="J80" s="1432">
        <f>J78*5%</f>
        <v>205</v>
      </c>
      <c r="K80" s="1433"/>
      <c r="L80" s="1434"/>
      <c r="M80" s="1435">
        <v>0.25</v>
      </c>
      <c r="N80" s="1436"/>
      <c r="O80" s="1437"/>
      <c r="P80" s="1438">
        <f>((('Scheme Entry - Baseline'!$W$46*1000)/('Scheme Entry - Baseline'!$W$9))*Overview!$E$29)*('Scheme Entry - Baseline'!$W$11*J80/1000)*(100%-M80)</f>
        <v>42253.794642857145</v>
      </c>
      <c r="Q80" s="1439"/>
      <c r="R80" s="1440"/>
      <c r="S80" s="1497">
        <f>S10</f>
        <v>0.13</v>
      </c>
      <c r="T80" s="1442"/>
      <c r="U80" s="1443"/>
      <c r="V80" s="1444">
        <f>P80*S80</f>
        <v>5492.9933035714294</v>
      </c>
      <c r="W80" s="1445"/>
      <c r="X80" s="1445"/>
      <c r="Y80" s="690"/>
      <c r="Z80" s="3"/>
    </row>
    <row r="81" spans="1:26" ht="15" customHeight="1" x14ac:dyDescent="0.3">
      <c r="A81" s="79"/>
      <c r="B81" s="79"/>
      <c r="C81" s="487"/>
      <c r="D81" s="487"/>
      <c r="E81" s="487"/>
      <c r="F81" s="487"/>
      <c r="G81" s="487"/>
      <c r="H81" s="486"/>
      <c r="I81" s="486" t="s">
        <v>125</v>
      </c>
      <c r="J81" s="1432">
        <f>J78*76%</f>
        <v>3116</v>
      </c>
      <c r="K81" s="1433"/>
      <c r="L81" s="1434"/>
      <c r="M81" s="1435">
        <v>0.5</v>
      </c>
      <c r="N81" s="1436"/>
      <c r="O81" s="1437"/>
      <c r="P81" s="1438">
        <f>((('Scheme Entry - Baseline'!$W$46*1000)/('Scheme Entry - Baseline'!$W$9))*Overview!$E$29)*('Scheme Entry - Baseline'!$W$11*J81/1000)*(100%-M81)</f>
        <v>428171.78571428574</v>
      </c>
      <c r="Q81" s="1439"/>
      <c r="R81" s="1440"/>
      <c r="S81" s="1497">
        <f>S10</f>
        <v>0.13</v>
      </c>
      <c r="T81" s="1442"/>
      <c r="U81" s="1443"/>
      <c r="V81" s="1444">
        <f>P81*S81</f>
        <v>55662.332142857151</v>
      </c>
      <c r="W81" s="1445"/>
      <c r="X81" s="1445"/>
      <c r="Y81" s="690"/>
      <c r="Z81" s="3"/>
    </row>
    <row r="82" spans="1:26" ht="15" customHeight="1" thickBot="1" x14ac:dyDescent="0.35">
      <c r="A82" s="79"/>
      <c r="B82" s="79"/>
      <c r="C82" s="1387"/>
      <c r="D82" s="1387"/>
      <c r="E82" s="1387"/>
      <c r="F82" s="1387"/>
      <c r="G82" s="1387"/>
      <c r="H82" s="1387"/>
      <c r="I82" s="1387"/>
      <c r="J82" s="1446">
        <f>SUM(J79:L81)</f>
        <v>4100</v>
      </c>
      <c r="K82" s="1390"/>
      <c r="L82" s="1391"/>
      <c r="M82" s="1392"/>
      <c r="N82" s="1393"/>
      <c r="O82" s="1394"/>
      <c r="P82" s="1395">
        <f>SUM(P79:R81)</f>
        <v>684511.4732142858</v>
      </c>
      <c r="Q82" s="1396"/>
      <c r="R82" s="1397"/>
      <c r="S82" s="1392"/>
      <c r="T82" s="1393"/>
      <c r="U82" s="1394"/>
      <c r="V82" s="1385">
        <f>SUM(V79:X81)</f>
        <v>88986.491517857154</v>
      </c>
      <c r="W82" s="1386"/>
      <c r="X82" s="1386"/>
      <c r="Y82" s="111"/>
      <c r="Z82" s="3"/>
    </row>
    <row r="83" spans="1:26" ht="15" customHeight="1" x14ac:dyDescent="0.3">
      <c r="A83" s="3"/>
      <c r="B83" s="930"/>
      <c r="C83" s="931"/>
      <c r="D83" s="931"/>
      <c r="E83" s="931"/>
      <c r="F83" s="931"/>
      <c r="G83" s="931"/>
      <c r="H83" s="931"/>
      <c r="I83" s="931"/>
      <c r="J83" s="931"/>
      <c r="K83" s="931"/>
      <c r="L83" s="931"/>
      <c r="M83" s="931"/>
      <c r="N83" s="931"/>
      <c r="O83" s="931"/>
      <c r="P83" s="931"/>
      <c r="Q83" s="931"/>
      <c r="R83" s="931"/>
      <c r="S83" s="931"/>
      <c r="T83" s="931"/>
      <c r="U83" s="931"/>
      <c r="V83" s="931"/>
      <c r="W83" s="931"/>
      <c r="X83" s="3"/>
      <c r="Y83" s="3"/>
      <c r="Z83" s="3"/>
    </row>
    <row r="84" spans="1:26" ht="15" customHeight="1" x14ac:dyDescent="0.3">
      <c r="A84" s="79"/>
      <c r="B84" s="118" t="s">
        <v>127</v>
      </c>
      <c r="C84" s="3"/>
      <c r="D84" s="3"/>
      <c r="E84" s="3"/>
      <c r="F84" s="3"/>
      <c r="G84" s="3"/>
      <c r="H84" s="3"/>
      <c r="I84" s="3"/>
      <c r="J84" s="3"/>
      <c r="K84" s="3"/>
      <c r="L84" s="3"/>
      <c r="M84" s="22"/>
      <c r="N84" s="3"/>
      <c r="O84" s="3"/>
      <c r="P84" s="3"/>
      <c r="Q84" s="3"/>
      <c r="R84" s="3"/>
      <c r="S84" s="3"/>
      <c r="T84" s="3"/>
      <c r="U84" s="3"/>
      <c r="V84" s="3"/>
      <c r="W84" s="3"/>
      <c r="X84" s="3"/>
      <c r="Y84" s="3"/>
      <c r="Z84" s="3"/>
    </row>
    <row r="85" spans="1:26" ht="15" customHeight="1" x14ac:dyDescent="0.3">
      <c r="A85" s="79"/>
      <c r="B85" s="31"/>
      <c r="C85" s="1350" t="s">
        <v>37</v>
      </c>
      <c r="D85" s="1350"/>
      <c r="E85" s="1350"/>
      <c r="F85" s="1350"/>
      <c r="G85" s="1350"/>
      <c r="H85" s="1350"/>
      <c r="I85" s="1351"/>
      <c r="J85" s="1202" t="s">
        <v>90</v>
      </c>
      <c r="K85" s="1354"/>
      <c r="L85" s="1355"/>
      <c r="M85" s="1202" t="s">
        <v>91</v>
      </c>
      <c r="N85" s="1354"/>
      <c r="O85" s="1355"/>
      <c r="P85" s="1202" t="s">
        <v>92</v>
      </c>
      <c r="Q85" s="1354"/>
      <c r="R85" s="1355"/>
      <c r="S85" s="1202" t="s">
        <v>93</v>
      </c>
      <c r="T85" s="1354"/>
      <c r="U85" s="1355"/>
      <c r="V85" s="1202" t="s">
        <v>94</v>
      </c>
      <c r="W85" s="1354"/>
      <c r="X85" s="1354"/>
      <c r="Y85" s="685"/>
      <c r="Z85" s="3"/>
    </row>
    <row r="86" spans="1:26" ht="15" customHeight="1" thickBot="1" x14ac:dyDescent="0.35">
      <c r="A86" s="79"/>
      <c r="B86" s="79"/>
      <c r="C86" s="1352"/>
      <c r="D86" s="1352"/>
      <c r="E86" s="1352"/>
      <c r="F86" s="1352"/>
      <c r="G86" s="1352"/>
      <c r="H86" s="1352"/>
      <c r="I86" s="1353"/>
      <c r="J86" s="1356"/>
      <c r="K86" s="1061"/>
      <c r="L86" s="1057"/>
      <c r="M86" s="1356"/>
      <c r="N86" s="1061"/>
      <c r="O86" s="1057"/>
      <c r="P86" s="1356"/>
      <c r="Q86" s="1061"/>
      <c r="R86" s="1057"/>
      <c r="S86" s="1356"/>
      <c r="T86" s="1061"/>
      <c r="U86" s="1057"/>
      <c r="V86" s="1356"/>
      <c r="W86" s="1061"/>
      <c r="X86" s="1061"/>
      <c r="Y86" s="685"/>
      <c r="Z86" s="3"/>
    </row>
    <row r="87" spans="1:26" ht="15" customHeight="1" x14ac:dyDescent="0.3">
      <c r="A87" s="79"/>
      <c r="B87" s="79"/>
      <c r="C87" s="1426" t="s">
        <v>85</v>
      </c>
      <c r="D87" s="1426"/>
      <c r="E87" s="1426"/>
      <c r="F87" s="1426"/>
      <c r="G87" s="1426"/>
      <c r="H87" s="1426"/>
      <c r="I87" s="1427"/>
      <c r="J87" s="1406">
        <v>4100</v>
      </c>
      <c r="K87" s="1407"/>
      <c r="L87" s="1408"/>
      <c r="M87" s="1400"/>
      <c r="N87" s="1401"/>
      <c r="O87" s="1402"/>
      <c r="P87" s="1342">
        <f>((('Scheme Entry - Baseline'!$W$46*1000)/('Sensitivity 1'!$H$8))*2)*('Sensitivity 1'!$H$10/1000)*J87</f>
        <v>1126767.8571428573</v>
      </c>
      <c r="Q87" s="1343"/>
      <c r="R87" s="1344"/>
      <c r="S87" s="1493">
        <f>S10</f>
        <v>0.13</v>
      </c>
      <c r="T87" s="1407"/>
      <c r="U87" s="1408"/>
      <c r="V87" s="1409">
        <f>P87*S87</f>
        <v>146479.82142857145</v>
      </c>
      <c r="W87" s="1410"/>
      <c r="X87" s="1410"/>
      <c r="Y87" s="736"/>
      <c r="Z87" s="3"/>
    </row>
    <row r="88" spans="1:26" ht="15" customHeight="1" x14ac:dyDescent="0.3">
      <c r="A88" s="79"/>
      <c r="B88" s="79"/>
      <c r="C88" s="1411" t="s">
        <v>86</v>
      </c>
      <c r="D88" s="1411"/>
      <c r="E88" s="1411"/>
      <c r="F88" s="1411"/>
      <c r="G88" s="1411"/>
      <c r="H88" s="1412" t="s">
        <v>87</v>
      </c>
      <c r="I88" s="1413"/>
      <c r="J88" s="1452">
        <f>J79</f>
        <v>779</v>
      </c>
      <c r="K88" s="1453"/>
      <c r="L88" s="1454"/>
      <c r="M88" s="1417"/>
      <c r="N88" s="1418"/>
      <c r="O88" s="1419"/>
      <c r="P88" s="1420">
        <f>((('Scheme Entry - Baseline'!$W$46*1000)/('Scheme Entry - Baseline'!$W$9))*Overview!$E$29)*('Scheme Entry - Baseline'!$W$11/1000)*J88</f>
        <v>214085.8928571429</v>
      </c>
      <c r="Q88" s="1421"/>
      <c r="R88" s="1422"/>
      <c r="S88" s="1498">
        <f>S10</f>
        <v>0.13</v>
      </c>
      <c r="T88" s="1424"/>
      <c r="U88" s="1425"/>
      <c r="V88" s="1428">
        <f>P88*S88</f>
        <v>27831.166071428579</v>
      </c>
      <c r="W88" s="1429"/>
      <c r="X88" s="1429"/>
      <c r="Y88" s="690"/>
      <c r="Z88" s="3"/>
    </row>
    <row r="89" spans="1:26" ht="15" customHeight="1" x14ac:dyDescent="0.3">
      <c r="A89" s="79"/>
      <c r="B89" s="79"/>
      <c r="C89" s="1430"/>
      <c r="D89" s="1430"/>
      <c r="E89" s="1430"/>
      <c r="F89" s="1430"/>
      <c r="G89" s="1430"/>
      <c r="H89" s="1052" t="s">
        <v>124</v>
      </c>
      <c r="I89" s="1431"/>
      <c r="J89" s="1449">
        <f>J80</f>
        <v>205</v>
      </c>
      <c r="K89" s="1450"/>
      <c r="L89" s="1451"/>
      <c r="M89" s="1435">
        <v>0.33</v>
      </c>
      <c r="N89" s="1436"/>
      <c r="O89" s="1437"/>
      <c r="P89" s="1438">
        <f>((('Scheme Entry - Baseline'!$W$46*1000)/('Scheme Entry - Baseline'!$W$9))*Overview!$E$29)*('Scheme Entry - Baseline'!$W$11*J89/1000)*(100%-M89)</f>
        <v>37746.72321428571</v>
      </c>
      <c r="Q89" s="1439"/>
      <c r="R89" s="1440"/>
      <c r="S89" s="1497">
        <f>S10</f>
        <v>0.13</v>
      </c>
      <c r="T89" s="1442"/>
      <c r="U89" s="1443"/>
      <c r="V89" s="1444">
        <f>P89*S89</f>
        <v>4907.0740178571423</v>
      </c>
      <c r="W89" s="1445"/>
      <c r="X89" s="1445"/>
      <c r="Y89" s="690"/>
      <c r="Z89" s="3"/>
    </row>
    <row r="90" spans="1:26" ht="15" customHeight="1" x14ac:dyDescent="0.3">
      <c r="A90" s="79"/>
      <c r="B90" s="79"/>
      <c r="C90" s="487"/>
      <c r="D90" s="487"/>
      <c r="E90" s="487"/>
      <c r="F90" s="487"/>
      <c r="G90" s="487"/>
      <c r="H90" s="486"/>
      <c r="I90" s="486" t="s">
        <v>125</v>
      </c>
      <c r="J90" s="1449">
        <f>J81</f>
        <v>3116</v>
      </c>
      <c r="K90" s="1450"/>
      <c r="L90" s="1451"/>
      <c r="M90" s="1435">
        <v>0.5</v>
      </c>
      <c r="N90" s="1436"/>
      <c r="O90" s="1437"/>
      <c r="P90" s="1438">
        <f>((('Scheme Entry - Baseline'!$W$46*1000)/('Scheme Entry - Baseline'!$W$9))*Overview!$E$29)*('Scheme Entry - Baseline'!$W$11*J90/1000)*(100%-M90)</f>
        <v>428171.78571428574</v>
      </c>
      <c r="Q90" s="1439"/>
      <c r="R90" s="1440"/>
      <c r="S90" s="1497">
        <f>S10</f>
        <v>0.13</v>
      </c>
      <c r="T90" s="1442"/>
      <c r="U90" s="1443"/>
      <c r="V90" s="1444">
        <f>P90*S90</f>
        <v>55662.332142857151</v>
      </c>
      <c r="W90" s="1445"/>
      <c r="X90" s="1445"/>
      <c r="Y90" s="690"/>
      <c r="Z90" s="3"/>
    </row>
    <row r="91" spans="1:26" ht="15" customHeight="1" thickBot="1" x14ac:dyDescent="0.35">
      <c r="A91" s="79"/>
      <c r="B91" s="79"/>
      <c r="C91" s="1387"/>
      <c r="D91" s="1387"/>
      <c r="E91" s="1387"/>
      <c r="F91" s="1387"/>
      <c r="G91" s="1387"/>
      <c r="H91" s="1387"/>
      <c r="I91" s="1387"/>
      <c r="J91" s="1389">
        <f>SUM(J88:L90)</f>
        <v>4100</v>
      </c>
      <c r="K91" s="1390"/>
      <c r="L91" s="1391"/>
      <c r="M91" s="1392"/>
      <c r="N91" s="1393"/>
      <c r="O91" s="1394"/>
      <c r="P91" s="1395">
        <f>SUM(P88:R90)</f>
        <v>680004.40178571432</v>
      </c>
      <c r="Q91" s="1396"/>
      <c r="R91" s="1397"/>
      <c r="S91" s="1392"/>
      <c r="T91" s="1393"/>
      <c r="U91" s="1394"/>
      <c r="V91" s="1385">
        <f>SUM(V88:X90)</f>
        <v>88400.572232142877</v>
      </c>
      <c r="W91" s="1386"/>
      <c r="X91" s="1386"/>
      <c r="Y91" s="111"/>
      <c r="Z91" s="3"/>
    </row>
    <row r="92" spans="1:26" ht="15" customHeight="1" x14ac:dyDescent="0.3">
      <c r="A92" s="79"/>
      <c r="B92" s="79"/>
      <c r="C92" s="688"/>
      <c r="D92" s="688"/>
      <c r="E92" s="688"/>
      <c r="F92" s="688"/>
      <c r="G92" s="688"/>
      <c r="H92" s="688"/>
      <c r="I92" s="688"/>
      <c r="J92" s="109"/>
      <c r="K92" s="109"/>
      <c r="L92" s="109"/>
      <c r="M92" s="689"/>
      <c r="N92" s="689"/>
      <c r="O92" s="689"/>
      <c r="P92" s="110"/>
      <c r="Q92" s="110"/>
      <c r="R92" s="110"/>
      <c r="S92" s="689"/>
      <c r="T92" s="689"/>
      <c r="U92" s="689"/>
      <c r="V92" s="111"/>
      <c r="W92" s="111"/>
      <c r="X92" s="111"/>
      <c r="Y92" s="111"/>
      <c r="Z92" s="3"/>
    </row>
    <row r="93" spans="1:26" ht="15" customHeight="1" x14ac:dyDescent="0.3">
      <c r="A93" s="79"/>
      <c r="B93" s="79"/>
      <c r="C93" s="688"/>
      <c r="D93" s="688"/>
      <c r="E93" s="688"/>
      <c r="F93" s="688"/>
      <c r="G93" s="688"/>
      <c r="H93" s="688"/>
      <c r="I93" s="688"/>
      <c r="J93" s="109"/>
      <c r="K93" s="109"/>
      <c r="L93" s="109"/>
      <c r="M93" s="689"/>
      <c r="N93" s="689"/>
      <c r="O93" s="689"/>
      <c r="P93" s="110"/>
      <c r="Q93" s="110"/>
      <c r="R93" s="110"/>
      <c r="S93" s="689"/>
      <c r="T93" s="689"/>
      <c r="U93" s="689"/>
      <c r="V93" s="111"/>
      <c r="W93" s="111"/>
      <c r="X93" s="111"/>
      <c r="Y93" s="111"/>
      <c r="Z93" s="3"/>
    </row>
    <row r="94" spans="1:26" ht="15" customHeight="1" x14ac:dyDescent="0.3">
      <c r="A94" s="79"/>
      <c r="B94" s="79"/>
      <c r="C94" s="688"/>
      <c r="D94" s="688"/>
      <c r="E94" s="688"/>
      <c r="F94" s="688"/>
      <c r="G94" s="688"/>
      <c r="H94" s="688"/>
      <c r="I94" s="688"/>
      <c r="J94" s="109"/>
      <c r="K94" s="109"/>
      <c r="L94" s="109"/>
      <c r="M94" s="689"/>
      <c r="N94" s="689"/>
      <c r="O94" s="689"/>
      <c r="P94" s="110"/>
      <c r="Q94" s="110"/>
      <c r="R94" s="110"/>
      <c r="S94" s="689"/>
      <c r="T94" s="689"/>
      <c r="U94" s="689"/>
      <c r="V94" s="111"/>
      <c r="W94" s="111"/>
      <c r="X94" s="111"/>
      <c r="Y94" s="111"/>
      <c r="Z94" s="3"/>
    </row>
    <row r="95" spans="1:26" ht="15" customHeight="1" x14ac:dyDescent="0.3">
      <c r="A95" s="79"/>
      <c r="B95" s="79"/>
      <c r="C95" s="688"/>
      <c r="D95" s="688"/>
      <c r="E95" s="688"/>
      <c r="F95" s="688"/>
      <c r="G95" s="688"/>
      <c r="H95" s="688"/>
      <c r="I95" s="688"/>
      <c r="J95" s="109"/>
      <c r="K95" s="109"/>
      <c r="L95" s="109"/>
      <c r="M95" s="689"/>
      <c r="N95" s="689"/>
      <c r="O95" s="689"/>
      <c r="P95" s="110"/>
      <c r="Q95" s="110"/>
      <c r="R95" s="110"/>
      <c r="S95" s="689"/>
      <c r="T95" s="689"/>
      <c r="U95" s="689"/>
      <c r="V95" s="111"/>
      <c r="W95" s="111"/>
      <c r="X95" s="111"/>
      <c r="Y95" s="111"/>
      <c r="Z95" s="3"/>
    </row>
    <row r="96" spans="1:26" ht="15" customHeight="1" x14ac:dyDescent="0.3">
      <c r="A96" s="15"/>
      <c r="B96" s="1500"/>
      <c r="C96" s="1500"/>
      <c r="D96" s="1500"/>
      <c r="E96" s="1500"/>
      <c r="F96" s="1500"/>
      <c r="G96" s="1500"/>
      <c r="H96" s="1500"/>
      <c r="I96" s="1500"/>
      <c r="J96" s="1500"/>
      <c r="K96" s="1500"/>
      <c r="L96" s="1500"/>
      <c r="M96" s="1500"/>
      <c r="N96" s="1500"/>
      <c r="O96" s="1500"/>
      <c r="P96" s="1500"/>
      <c r="Q96" s="1500"/>
      <c r="R96" s="1500"/>
      <c r="S96" s="1500"/>
      <c r="T96" s="1500"/>
      <c r="U96" s="1500"/>
      <c r="V96" s="1500"/>
      <c r="W96" s="1500"/>
      <c r="X96" s="15"/>
      <c r="Y96" s="15"/>
      <c r="Z96" s="15"/>
    </row>
    <row r="97" spans="1:26" ht="15" customHeight="1" x14ac:dyDescent="0.3">
      <c r="A97" s="1"/>
      <c r="B97" s="108"/>
      <c r="C97" s="108"/>
      <c r="D97" s="108"/>
      <c r="E97" s="108"/>
      <c r="F97" s="108"/>
      <c r="G97" s="108"/>
      <c r="H97" s="108"/>
      <c r="I97" s="108"/>
      <c r="J97" s="108"/>
      <c r="K97" s="108"/>
      <c r="L97" s="108"/>
      <c r="M97" s="108"/>
      <c r="N97" s="108"/>
      <c r="O97" s="108"/>
      <c r="P97" s="108"/>
      <c r="Q97" s="108"/>
      <c r="R97" s="108"/>
      <c r="S97" s="108"/>
      <c r="T97" s="108"/>
      <c r="U97" s="108"/>
      <c r="V97" s="108"/>
      <c r="W97" s="108"/>
      <c r="X97" s="1"/>
      <c r="Y97" s="1"/>
      <c r="Z97" s="1"/>
    </row>
    <row r="98" spans="1:26" ht="15" customHeight="1" x14ac:dyDescent="0.3">
      <c r="A98" s="79"/>
      <c r="B98" s="677"/>
      <c r="C98" s="677"/>
      <c r="D98" s="677"/>
      <c r="E98" s="677"/>
      <c r="F98" s="677"/>
      <c r="G98" s="677"/>
      <c r="H98" s="677"/>
      <c r="I98" s="677"/>
      <c r="J98" s="677"/>
      <c r="K98" s="677"/>
      <c r="L98" s="677"/>
      <c r="M98" s="677"/>
      <c r="N98" s="677"/>
      <c r="O98" s="677"/>
      <c r="P98" s="677"/>
      <c r="Q98" s="677"/>
      <c r="R98" s="677"/>
      <c r="S98" s="677"/>
      <c r="T98" s="677"/>
      <c r="U98" s="677"/>
      <c r="V98" s="677"/>
      <c r="W98" s="677"/>
      <c r="X98" s="79"/>
      <c r="Y98" s="79"/>
      <c r="Z98" s="79"/>
    </row>
    <row r="99" spans="1:26" ht="15" customHeight="1" x14ac:dyDescent="0.3">
      <c r="A99" s="79"/>
      <c r="B99" s="115" t="s">
        <v>128</v>
      </c>
      <c r="C99" s="3"/>
      <c r="D99" s="3"/>
      <c r="E99" s="3"/>
      <c r="F99" s="3"/>
      <c r="G99" s="3"/>
      <c r="H99" s="3"/>
      <c r="I99" s="3"/>
      <c r="J99" s="3"/>
      <c r="K99" s="3"/>
      <c r="L99" s="3"/>
      <c r="M99" s="22"/>
      <c r="N99" s="3"/>
      <c r="O99" s="3"/>
      <c r="P99" s="3"/>
      <c r="Q99" s="3"/>
      <c r="R99" s="3"/>
      <c r="S99" s="3"/>
      <c r="T99" s="3"/>
      <c r="U99" s="3"/>
      <c r="V99" s="3"/>
      <c r="W99" s="3"/>
      <c r="X99" s="3"/>
      <c r="Y99" s="3"/>
      <c r="Z99" s="3"/>
    </row>
    <row r="100" spans="1:26" ht="15" customHeight="1" x14ac:dyDescent="0.3">
      <c r="A100" s="79"/>
      <c r="B100" s="31"/>
      <c r="C100" s="1350" t="s">
        <v>37</v>
      </c>
      <c r="D100" s="1350"/>
      <c r="E100" s="1350"/>
      <c r="F100" s="1350"/>
      <c r="G100" s="1350"/>
      <c r="H100" s="1350"/>
      <c r="I100" s="1351"/>
      <c r="J100" s="1202" t="s">
        <v>90</v>
      </c>
      <c r="K100" s="1354"/>
      <c r="L100" s="1355"/>
      <c r="M100" s="1202" t="s">
        <v>91</v>
      </c>
      <c r="N100" s="1354"/>
      <c r="O100" s="1355"/>
      <c r="P100" s="1202" t="s">
        <v>92</v>
      </c>
      <c r="Q100" s="1354"/>
      <c r="R100" s="1355"/>
      <c r="S100" s="1202" t="s">
        <v>93</v>
      </c>
      <c r="T100" s="1354"/>
      <c r="U100" s="1355"/>
      <c r="V100" s="1202" t="s">
        <v>94</v>
      </c>
      <c r="W100" s="1354"/>
      <c r="X100" s="1354"/>
      <c r="Y100" s="685"/>
      <c r="Z100" s="3"/>
    </row>
    <row r="101" spans="1:26" ht="15" customHeight="1" thickBot="1" x14ac:dyDescent="0.35">
      <c r="A101" s="79"/>
      <c r="B101" s="79"/>
      <c r="C101" s="1352"/>
      <c r="D101" s="1352"/>
      <c r="E101" s="1352"/>
      <c r="F101" s="1352"/>
      <c r="G101" s="1352"/>
      <c r="H101" s="1352"/>
      <c r="I101" s="1353"/>
      <c r="J101" s="1356"/>
      <c r="K101" s="1061"/>
      <c r="L101" s="1057"/>
      <c r="M101" s="1356"/>
      <c r="N101" s="1061"/>
      <c r="O101" s="1057"/>
      <c r="P101" s="1356"/>
      <c r="Q101" s="1061"/>
      <c r="R101" s="1057"/>
      <c r="S101" s="1356"/>
      <c r="T101" s="1061"/>
      <c r="U101" s="1057"/>
      <c r="V101" s="1356"/>
      <c r="W101" s="1061"/>
      <c r="X101" s="1061"/>
      <c r="Y101" s="685"/>
      <c r="Z101" s="3"/>
    </row>
    <row r="102" spans="1:26" ht="15" customHeight="1" x14ac:dyDescent="0.3">
      <c r="A102" s="79"/>
      <c r="B102" s="79"/>
      <c r="C102" s="1426" t="s">
        <v>85</v>
      </c>
      <c r="D102" s="1426"/>
      <c r="E102" s="1426"/>
      <c r="F102" s="1426"/>
      <c r="G102" s="1426"/>
      <c r="H102" s="1426"/>
      <c r="I102" s="1427"/>
      <c r="J102" s="1406">
        <v>4100</v>
      </c>
      <c r="K102" s="1407"/>
      <c r="L102" s="1408"/>
      <c r="M102" s="1400"/>
      <c r="N102" s="1401"/>
      <c r="O102" s="1402"/>
      <c r="P102" s="1342">
        <f>P10</f>
        <v>798381.81818181812</v>
      </c>
      <c r="Q102" s="1343"/>
      <c r="R102" s="1344"/>
      <c r="S102" s="1493">
        <f>S10</f>
        <v>0.13</v>
      </c>
      <c r="T102" s="1407"/>
      <c r="U102" s="1408"/>
      <c r="V102" s="1409">
        <f>P102*S102</f>
        <v>103789.63636363635</v>
      </c>
      <c r="W102" s="1410"/>
      <c r="X102" s="1410"/>
      <c r="Y102" s="736"/>
      <c r="Z102" s="3"/>
    </row>
    <row r="103" spans="1:26" ht="15" customHeight="1" x14ac:dyDescent="0.3">
      <c r="A103" s="79"/>
      <c r="B103" s="79"/>
      <c r="C103" s="1411" t="s">
        <v>86</v>
      </c>
      <c r="D103" s="1411"/>
      <c r="E103" s="1411"/>
      <c r="F103" s="1411"/>
      <c r="G103" s="1411"/>
      <c r="H103" s="1412" t="s">
        <v>87</v>
      </c>
      <c r="I103" s="1413"/>
      <c r="J103" s="1452">
        <f>J79</f>
        <v>779</v>
      </c>
      <c r="K103" s="1453"/>
      <c r="L103" s="1454"/>
      <c r="M103" s="1417"/>
      <c r="N103" s="1418"/>
      <c r="O103" s="1419"/>
      <c r="P103" s="1420">
        <f>((('Scheme Entry - Baseline'!$W$46*1000)/('Scheme Entry - Baseline'!$W$9))*Overview!$E$29)*('Scheme Entry - Baseline'!$W$11/1000)*J103</f>
        <v>214085.8928571429</v>
      </c>
      <c r="Q103" s="1421"/>
      <c r="R103" s="1422"/>
      <c r="S103" s="1498">
        <f>S10</f>
        <v>0.13</v>
      </c>
      <c r="T103" s="1424"/>
      <c r="U103" s="1425"/>
      <c r="V103" s="1428">
        <f>P103*S103</f>
        <v>27831.166071428579</v>
      </c>
      <c r="W103" s="1429"/>
      <c r="X103" s="1429"/>
      <c r="Y103" s="690"/>
      <c r="Z103" s="3"/>
    </row>
    <row r="104" spans="1:26" ht="15" customHeight="1" x14ac:dyDescent="0.3">
      <c r="A104" s="79"/>
      <c r="B104" s="79"/>
      <c r="C104" s="1430"/>
      <c r="D104" s="1430"/>
      <c r="E104" s="1430"/>
      <c r="F104" s="1430"/>
      <c r="G104" s="1430"/>
      <c r="H104" s="1052" t="s">
        <v>124</v>
      </c>
      <c r="I104" s="1431"/>
      <c r="J104" s="1452">
        <f t="shared" ref="J104:J105" si="0">J80</f>
        <v>205</v>
      </c>
      <c r="K104" s="1453"/>
      <c r="L104" s="1454"/>
      <c r="M104" s="1435">
        <v>0.36</v>
      </c>
      <c r="N104" s="1436"/>
      <c r="O104" s="1437"/>
      <c r="P104" s="1438">
        <f>((('Scheme Entry - Baseline'!$W$46*1000)/('Scheme Entry - Baseline'!$W$9))*Overview!$E$29)*('Scheme Entry - Baseline'!$W$11*J104/1000)*(100%-M104)</f>
        <v>36056.571428571428</v>
      </c>
      <c r="Q104" s="1439"/>
      <c r="R104" s="1440"/>
      <c r="S104" s="1497">
        <f>S10</f>
        <v>0.13</v>
      </c>
      <c r="T104" s="1442"/>
      <c r="U104" s="1443"/>
      <c r="V104" s="1444">
        <f>P104*S104</f>
        <v>4687.3542857142857</v>
      </c>
      <c r="W104" s="1445"/>
      <c r="X104" s="1445"/>
      <c r="Y104" s="690"/>
      <c r="Z104" s="3"/>
    </row>
    <row r="105" spans="1:26" ht="15" customHeight="1" x14ac:dyDescent="0.3">
      <c r="A105" s="79"/>
      <c r="B105" s="79"/>
      <c r="C105" s="487"/>
      <c r="D105" s="487"/>
      <c r="E105" s="487"/>
      <c r="F105" s="487"/>
      <c r="G105" s="487"/>
      <c r="H105" s="486"/>
      <c r="I105" s="486" t="s">
        <v>125</v>
      </c>
      <c r="J105" s="1452">
        <f t="shared" si="0"/>
        <v>3116</v>
      </c>
      <c r="K105" s="1453"/>
      <c r="L105" s="1454"/>
      <c r="M105" s="1435">
        <v>0.53</v>
      </c>
      <c r="N105" s="1436"/>
      <c r="O105" s="1437"/>
      <c r="P105" s="1438">
        <f>((('Scheme Entry - Baseline'!$W$46*1000)/('Scheme Entry - Baseline'!$W$9))*Overview!$E$29)*('Scheme Entry - Baseline'!$W$11*J105/1000)*(100%-M105)</f>
        <v>402481.47857142857</v>
      </c>
      <c r="Q105" s="1439"/>
      <c r="R105" s="1440"/>
      <c r="S105" s="1497">
        <f>S10</f>
        <v>0.13</v>
      </c>
      <c r="T105" s="1442"/>
      <c r="U105" s="1443"/>
      <c r="V105" s="1444">
        <f>P105*S105</f>
        <v>52322.592214285716</v>
      </c>
      <c r="W105" s="1445"/>
      <c r="X105" s="1445"/>
      <c r="Y105" s="690"/>
      <c r="Z105" s="3"/>
    </row>
    <row r="106" spans="1:26" ht="15" customHeight="1" thickBot="1" x14ac:dyDescent="0.35">
      <c r="A106" s="79"/>
      <c r="B106" s="79"/>
      <c r="C106" s="1387"/>
      <c r="D106" s="1387"/>
      <c r="E106" s="1387"/>
      <c r="F106" s="1387"/>
      <c r="G106" s="1387"/>
      <c r="H106" s="1387"/>
      <c r="I106" s="1387"/>
      <c r="J106" s="1389">
        <f>SUM(J103:L105)</f>
        <v>4100</v>
      </c>
      <c r="K106" s="1390"/>
      <c r="L106" s="1391"/>
      <c r="M106" s="1392"/>
      <c r="N106" s="1393"/>
      <c r="O106" s="1394"/>
      <c r="P106" s="1395">
        <f>SUM(P103:R105)</f>
        <v>652623.94285714289</v>
      </c>
      <c r="Q106" s="1396"/>
      <c r="R106" s="1397"/>
      <c r="S106" s="1392"/>
      <c r="T106" s="1393"/>
      <c r="U106" s="1394"/>
      <c r="V106" s="1385">
        <f>SUM(V103:X105)</f>
        <v>84841.112571428588</v>
      </c>
      <c r="W106" s="1386"/>
      <c r="X106" s="1386"/>
      <c r="Y106" s="111"/>
      <c r="Z106" s="3"/>
    </row>
    <row r="107" spans="1:26" ht="15" customHeight="1" x14ac:dyDescent="0.3">
      <c r="A107" s="3"/>
      <c r="B107" s="930"/>
      <c r="C107" s="931"/>
      <c r="D107" s="931"/>
      <c r="E107" s="931"/>
      <c r="F107" s="931"/>
      <c r="G107" s="931"/>
      <c r="H107" s="931"/>
      <c r="I107" s="931"/>
      <c r="J107" s="931"/>
      <c r="K107" s="931"/>
      <c r="L107" s="931"/>
      <c r="M107" s="931"/>
      <c r="N107" s="931"/>
      <c r="O107" s="931"/>
      <c r="P107" s="931"/>
      <c r="Q107" s="931"/>
      <c r="R107" s="931"/>
      <c r="S107" s="931"/>
      <c r="T107" s="931"/>
      <c r="U107" s="931"/>
      <c r="V107" s="931"/>
      <c r="W107" s="931"/>
      <c r="X107" s="3"/>
      <c r="Y107" s="3"/>
      <c r="Z107" s="3"/>
    </row>
    <row r="108" spans="1:26" ht="15" customHeight="1" x14ac:dyDescent="0.3">
      <c r="A108" s="79"/>
      <c r="B108" s="119" t="s">
        <v>129</v>
      </c>
      <c r="C108" s="3"/>
      <c r="D108" s="3"/>
      <c r="E108" s="3"/>
      <c r="F108" s="3"/>
      <c r="G108" s="3"/>
      <c r="H108" s="3"/>
      <c r="I108" s="3"/>
      <c r="J108" s="3"/>
      <c r="K108" s="3"/>
      <c r="L108" s="3"/>
      <c r="M108" s="22"/>
      <c r="N108" s="3"/>
      <c r="O108" s="3"/>
      <c r="P108" s="3"/>
      <c r="Q108" s="3"/>
      <c r="R108" s="3"/>
      <c r="S108" s="3"/>
      <c r="T108" s="3"/>
      <c r="U108" s="3"/>
      <c r="V108" s="3"/>
      <c r="W108" s="3"/>
      <c r="X108" s="3"/>
      <c r="Y108" s="3"/>
      <c r="Z108" s="3"/>
    </row>
    <row r="109" spans="1:26" ht="15" customHeight="1" x14ac:dyDescent="0.3">
      <c r="A109" s="79"/>
      <c r="B109" s="31"/>
      <c r="C109" s="1350" t="s">
        <v>37</v>
      </c>
      <c r="D109" s="1350"/>
      <c r="E109" s="1350"/>
      <c r="F109" s="1350"/>
      <c r="G109" s="1350"/>
      <c r="H109" s="1350"/>
      <c r="I109" s="1351"/>
      <c r="J109" s="1202" t="s">
        <v>90</v>
      </c>
      <c r="K109" s="1354"/>
      <c r="L109" s="1355"/>
      <c r="M109" s="1202" t="s">
        <v>91</v>
      </c>
      <c r="N109" s="1354"/>
      <c r="O109" s="1355"/>
      <c r="P109" s="1202" t="s">
        <v>92</v>
      </c>
      <c r="Q109" s="1354"/>
      <c r="R109" s="1355"/>
      <c r="S109" s="1202" t="s">
        <v>93</v>
      </c>
      <c r="T109" s="1354"/>
      <c r="U109" s="1355"/>
      <c r="V109" s="1202" t="s">
        <v>94</v>
      </c>
      <c r="W109" s="1354"/>
      <c r="X109" s="1354"/>
      <c r="Y109" s="685"/>
      <c r="Z109" s="3"/>
    </row>
    <row r="110" spans="1:26" ht="15" customHeight="1" thickBot="1" x14ac:dyDescent="0.35">
      <c r="A110" s="79"/>
      <c r="B110" s="79"/>
      <c r="C110" s="1352"/>
      <c r="D110" s="1352"/>
      <c r="E110" s="1352"/>
      <c r="F110" s="1352"/>
      <c r="G110" s="1352"/>
      <c r="H110" s="1352"/>
      <c r="I110" s="1353"/>
      <c r="J110" s="1356"/>
      <c r="K110" s="1061"/>
      <c r="L110" s="1057"/>
      <c r="M110" s="1356"/>
      <c r="N110" s="1061"/>
      <c r="O110" s="1057"/>
      <c r="P110" s="1356"/>
      <c r="Q110" s="1061"/>
      <c r="R110" s="1057"/>
      <c r="S110" s="1356"/>
      <c r="T110" s="1061"/>
      <c r="U110" s="1057"/>
      <c r="V110" s="1356"/>
      <c r="W110" s="1061"/>
      <c r="X110" s="1061"/>
      <c r="Y110" s="685"/>
      <c r="Z110" s="3"/>
    </row>
    <row r="111" spans="1:26" ht="15" customHeight="1" x14ac:dyDescent="0.3">
      <c r="A111" s="79"/>
      <c r="B111" s="79"/>
      <c r="C111" s="1426" t="s">
        <v>85</v>
      </c>
      <c r="D111" s="1426"/>
      <c r="E111" s="1426"/>
      <c r="F111" s="1426"/>
      <c r="G111" s="1426"/>
      <c r="H111" s="1426"/>
      <c r="I111" s="1427"/>
      <c r="J111" s="1406">
        <v>4100</v>
      </c>
      <c r="K111" s="1407"/>
      <c r="L111" s="1408"/>
      <c r="M111" s="1400"/>
      <c r="N111" s="1401"/>
      <c r="O111" s="1402"/>
      <c r="P111" s="1342">
        <f>P10</f>
        <v>798381.81818181812</v>
      </c>
      <c r="Q111" s="1343"/>
      <c r="R111" s="1344"/>
      <c r="S111" s="1493">
        <f>S10</f>
        <v>0.13</v>
      </c>
      <c r="T111" s="1407"/>
      <c r="U111" s="1408"/>
      <c r="V111" s="1409">
        <f>P111*S111</f>
        <v>103789.63636363635</v>
      </c>
      <c r="W111" s="1410"/>
      <c r="X111" s="1410"/>
      <c r="Y111" s="736"/>
      <c r="Z111" s="3"/>
    </row>
    <row r="112" spans="1:26" ht="15" customHeight="1" x14ac:dyDescent="0.3">
      <c r="A112" s="79"/>
      <c r="B112" s="79"/>
      <c r="C112" s="1411" t="s">
        <v>86</v>
      </c>
      <c r="D112" s="1411"/>
      <c r="E112" s="1411"/>
      <c r="F112" s="1411"/>
      <c r="G112" s="1411"/>
      <c r="H112" s="1412" t="s">
        <v>87</v>
      </c>
      <c r="I112" s="1413"/>
      <c r="J112" s="1452">
        <f>J79</f>
        <v>779</v>
      </c>
      <c r="K112" s="1453"/>
      <c r="L112" s="1454"/>
      <c r="M112" s="1417"/>
      <c r="N112" s="1418"/>
      <c r="O112" s="1419"/>
      <c r="P112" s="1420">
        <f>((('Scheme Entry - Baseline'!$W$46*1000)/('Scheme Entry - Baseline'!$W$9))*Overview!$E$29)*('Scheme Entry - Baseline'!$W$11/1000)*J112</f>
        <v>214085.8928571429</v>
      </c>
      <c r="Q112" s="1421"/>
      <c r="R112" s="1422"/>
      <c r="S112" s="1498">
        <f>S10</f>
        <v>0.13</v>
      </c>
      <c r="T112" s="1424"/>
      <c r="U112" s="1425"/>
      <c r="V112" s="1428">
        <f>P112*S112</f>
        <v>27831.166071428579</v>
      </c>
      <c r="W112" s="1429"/>
      <c r="X112" s="1429"/>
      <c r="Y112" s="690"/>
      <c r="Z112" s="3"/>
    </row>
    <row r="113" spans="1:26" ht="15" customHeight="1" x14ac:dyDescent="0.3">
      <c r="A113" s="79"/>
      <c r="B113" s="79"/>
      <c r="C113" s="1430"/>
      <c r="D113" s="1430"/>
      <c r="E113" s="1430"/>
      <c r="F113" s="1430"/>
      <c r="G113" s="1430"/>
      <c r="H113" s="1052" t="s">
        <v>124</v>
      </c>
      <c r="I113" s="1431"/>
      <c r="J113" s="1452">
        <f t="shared" ref="J113:J114" si="1">J80</f>
        <v>205</v>
      </c>
      <c r="K113" s="1453"/>
      <c r="L113" s="1454"/>
      <c r="M113" s="1435">
        <v>0.34</v>
      </c>
      <c r="N113" s="1436"/>
      <c r="O113" s="1437"/>
      <c r="P113" s="1438">
        <f>((('Scheme Entry - Baseline'!$W$46*1000)/('Scheme Entry - Baseline'!$W$9))*Overview!$E$29)*('Scheme Entry - Baseline'!$W$11*J113/1000)*(100%-M113)</f>
        <v>37183.339285714283</v>
      </c>
      <c r="Q113" s="1439"/>
      <c r="R113" s="1440"/>
      <c r="S113" s="1497">
        <f>S10</f>
        <v>0.13</v>
      </c>
      <c r="T113" s="1442"/>
      <c r="U113" s="1443"/>
      <c r="V113" s="1444">
        <f>P113*S113</f>
        <v>4833.8341071428567</v>
      </c>
      <c r="W113" s="1445"/>
      <c r="X113" s="1445"/>
      <c r="Y113" s="690"/>
      <c r="Z113" s="3"/>
    </row>
    <row r="114" spans="1:26" ht="15" customHeight="1" x14ac:dyDescent="0.3">
      <c r="A114" s="79"/>
      <c r="B114" s="79"/>
      <c r="C114" s="487"/>
      <c r="D114" s="487"/>
      <c r="E114" s="487"/>
      <c r="F114" s="487"/>
      <c r="G114" s="487"/>
      <c r="H114" s="486"/>
      <c r="I114" s="486" t="s">
        <v>125</v>
      </c>
      <c r="J114" s="1452">
        <f t="shared" si="1"/>
        <v>3116</v>
      </c>
      <c r="K114" s="1453"/>
      <c r="L114" s="1454"/>
      <c r="M114" s="1435">
        <v>0.64</v>
      </c>
      <c r="N114" s="1436"/>
      <c r="O114" s="1437"/>
      <c r="P114" s="1438">
        <f>((('Scheme Entry - Baseline'!$W$46*1000)/('Scheme Entry - Baseline'!$W$9))*Overview!$E$29)*('Scheme Entry - Baseline'!$W$11*J114/1000)*(100%-M114)</f>
        <v>308283.6857142857</v>
      </c>
      <c r="Q114" s="1439"/>
      <c r="R114" s="1440"/>
      <c r="S114" s="1497">
        <f>S10</f>
        <v>0.13</v>
      </c>
      <c r="T114" s="1442"/>
      <c r="U114" s="1443"/>
      <c r="V114" s="1444">
        <f>P114*S114</f>
        <v>40076.879142857142</v>
      </c>
      <c r="W114" s="1445"/>
      <c r="X114" s="1445"/>
      <c r="Y114" s="690"/>
      <c r="Z114" s="3"/>
    </row>
    <row r="115" spans="1:26" ht="15" customHeight="1" thickBot="1" x14ac:dyDescent="0.35">
      <c r="A115" s="79"/>
      <c r="B115" s="79"/>
      <c r="C115" s="1387"/>
      <c r="D115" s="1387"/>
      <c r="E115" s="1387"/>
      <c r="F115" s="1387"/>
      <c r="G115" s="1387"/>
      <c r="H115" s="1387"/>
      <c r="I115" s="1387"/>
      <c r="J115" s="1389">
        <f>SUM(J112:L114)</f>
        <v>4100</v>
      </c>
      <c r="K115" s="1390"/>
      <c r="L115" s="1391"/>
      <c r="M115" s="1392"/>
      <c r="N115" s="1393"/>
      <c r="O115" s="1394"/>
      <c r="P115" s="1395">
        <f>SUM(P112:R114)</f>
        <v>559552.91785714286</v>
      </c>
      <c r="Q115" s="1396"/>
      <c r="R115" s="1397"/>
      <c r="S115" s="1392"/>
      <c r="T115" s="1393"/>
      <c r="U115" s="1394"/>
      <c r="V115" s="1385">
        <f>SUM(V112:X114)</f>
        <v>72741.879321428569</v>
      </c>
      <c r="W115" s="1386"/>
      <c r="X115" s="1386"/>
      <c r="Y115" s="111"/>
      <c r="Z115" s="3"/>
    </row>
    <row r="116" spans="1:26" ht="15" customHeight="1" x14ac:dyDescent="0.3">
      <c r="A116" s="79"/>
      <c r="B116" s="79"/>
      <c r="C116" s="487"/>
      <c r="D116" s="487"/>
      <c r="E116" s="487"/>
      <c r="F116" s="487"/>
      <c r="G116" s="487"/>
      <c r="H116" s="487"/>
      <c r="I116" s="487"/>
      <c r="J116" s="109"/>
      <c r="K116" s="109"/>
      <c r="L116" s="109"/>
      <c r="M116" s="488"/>
      <c r="N116" s="488"/>
      <c r="O116" s="488"/>
      <c r="P116" s="110"/>
      <c r="Q116" s="110"/>
      <c r="R116" s="110"/>
      <c r="S116" s="488"/>
      <c r="T116" s="488"/>
      <c r="U116" s="488"/>
      <c r="V116" s="111"/>
      <c r="W116" s="111"/>
      <c r="X116" s="111"/>
      <c r="Y116" s="111"/>
      <c r="Z116" s="3"/>
    </row>
    <row r="117" spans="1:26" ht="15" customHeight="1" x14ac:dyDescent="0.3">
      <c r="A117" s="79"/>
      <c r="B117" s="30" t="s">
        <v>134</v>
      </c>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 customHeight="1" x14ac:dyDescent="0.3">
      <c r="A118" s="79"/>
      <c r="B118" s="31"/>
      <c r="C118" s="1350" t="s">
        <v>37</v>
      </c>
      <c r="D118" s="1350"/>
      <c r="E118" s="1350"/>
      <c r="F118" s="1350"/>
      <c r="G118" s="1350"/>
      <c r="H118" s="1350"/>
      <c r="I118" s="1351"/>
      <c r="J118" s="1202" t="s">
        <v>90</v>
      </c>
      <c r="K118" s="1354"/>
      <c r="L118" s="1355"/>
      <c r="M118" s="1202" t="s">
        <v>91</v>
      </c>
      <c r="N118" s="1354"/>
      <c r="O118" s="1355"/>
      <c r="P118" s="1202" t="s">
        <v>92</v>
      </c>
      <c r="Q118" s="1354"/>
      <c r="R118" s="1355"/>
      <c r="S118" s="1202" t="s">
        <v>93</v>
      </c>
      <c r="T118" s="1354"/>
      <c r="U118" s="1355"/>
      <c r="V118" s="1202" t="s">
        <v>94</v>
      </c>
      <c r="W118" s="1354"/>
      <c r="X118" s="1354"/>
      <c r="Y118" s="685"/>
      <c r="Z118" s="3"/>
    </row>
    <row r="119" spans="1:26" ht="15" customHeight="1" thickBot="1" x14ac:dyDescent="0.35">
      <c r="A119" s="79"/>
      <c r="B119" s="79"/>
      <c r="C119" s="1352"/>
      <c r="D119" s="1352"/>
      <c r="E119" s="1352"/>
      <c r="F119" s="1352"/>
      <c r="G119" s="1352"/>
      <c r="H119" s="1352"/>
      <c r="I119" s="1353"/>
      <c r="J119" s="1356"/>
      <c r="K119" s="1061"/>
      <c r="L119" s="1057"/>
      <c r="M119" s="1356"/>
      <c r="N119" s="1061"/>
      <c r="O119" s="1057"/>
      <c r="P119" s="1356"/>
      <c r="Q119" s="1061"/>
      <c r="R119" s="1057"/>
      <c r="S119" s="1356"/>
      <c r="T119" s="1061"/>
      <c r="U119" s="1057"/>
      <c r="V119" s="1356"/>
      <c r="W119" s="1061"/>
      <c r="X119" s="1061"/>
      <c r="Y119" s="685"/>
      <c r="Z119" s="3"/>
    </row>
    <row r="120" spans="1:26" ht="15" customHeight="1" x14ac:dyDescent="0.3">
      <c r="A120" s="79"/>
      <c r="B120" s="79"/>
      <c r="C120" s="1426" t="s">
        <v>85</v>
      </c>
      <c r="D120" s="1426"/>
      <c r="E120" s="1426"/>
      <c r="F120" s="1426"/>
      <c r="G120" s="1426"/>
      <c r="H120" s="1426"/>
      <c r="I120" s="1427"/>
      <c r="J120" s="1406">
        <v>4100</v>
      </c>
      <c r="K120" s="1407"/>
      <c r="L120" s="1408"/>
      <c r="M120" s="1400"/>
      <c r="N120" s="1401"/>
      <c r="O120" s="1402"/>
      <c r="P120" s="1342">
        <f>P10</f>
        <v>798381.81818181812</v>
      </c>
      <c r="Q120" s="1343"/>
      <c r="R120" s="1344"/>
      <c r="S120" s="1493">
        <f>S10</f>
        <v>0.13</v>
      </c>
      <c r="T120" s="1407"/>
      <c r="U120" s="1408"/>
      <c r="V120" s="1409">
        <f>P120*S120</f>
        <v>103789.63636363635</v>
      </c>
      <c r="W120" s="1410"/>
      <c r="X120" s="1410"/>
      <c r="Y120" s="736"/>
      <c r="Z120" s="3"/>
    </row>
    <row r="121" spans="1:26" ht="15" customHeight="1" x14ac:dyDescent="0.3">
      <c r="A121" s="79"/>
      <c r="B121" s="79"/>
      <c r="C121" s="1411" t="s">
        <v>86</v>
      </c>
      <c r="D121" s="1411"/>
      <c r="E121" s="1411"/>
      <c r="F121" s="1411"/>
      <c r="G121" s="1411"/>
      <c r="H121" s="1412" t="s">
        <v>87</v>
      </c>
      <c r="I121" s="1413"/>
      <c r="J121" s="1458"/>
      <c r="K121" s="1459"/>
      <c r="L121" s="1460"/>
      <c r="M121" s="1417"/>
      <c r="N121" s="1418"/>
      <c r="O121" s="1419"/>
      <c r="P121" s="1420"/>
      <c r="Q121" s="1421"/>
      <c r="R121" s="1422"/>
      <c r="S121" s="1423"/>
      <c r="T121" s="1424"/>
      <c r="U121" s="1425"/>
      <c r="V121" s="1428">
        <f>P121*S121</f>
        <v>0</v>
      </c>
      <c r="W121" s="1429"/>
      <c r="X121" s="1429"/>
      <c r="Y121" s="690"/>
      <c r="Z121" s="3"/>
    </row>
    <row r="122" spans="1:26" ht="15" customHeight="1" x14ac:dyDescent="0.3">
      <c r="A122" s="79"/>
      <c r="B122" s="79"/>
      <c r="C122" s="1430"/>
      <c r="D122" s="1430"/>
      <c r="E122" s="1430"/>
      <c r="F122" s="1430"/>
      <c r="G122" s="1430"/>
      <c r="H122" s="1052" t="s">
        <v>456</v>
      </c>
      <c r="I122" s="1431"/>
      <c r="J122" s="1461">
        <v>0.5</v>
      </c>
      <c r="K122" s="1462"/>
      <c r="L122" s="1463"/>
      <c r="M122" s="1464"/>
      <c r="N122" s="1465"/>
      <c r="O122" s="1466"/>
      <c r="P122" s="1438"/>
      <c r="Q122" s="1439"/>
      <c r="R122" s="1440"/>
      <c r="S122" s="1441"/>
      <c r="T122" s="1442"/>
      <c r="U122" s="1443"/>
      <c r="V122" s="1444">
        <f>P122*S122</f>
        <v>0</v>
      </c>
      <c r="W122" s="1445"/>
      <c r="X122" s="1445"/>
      <c r="Y122" s="690"/>
      <c r="Z122" s="3"/>
    </row>
    <row r="123" spans="1:26" ht="15" customHeight="1" thickBot="1" x14ac:dyDescent="0.35">
      <c r="A123" s="79"/>
      <c r="B123" s="79"/>
      <c r="C123" s="1387" t="s">
        <v>133</v>
      </c>
      <c r="D123" s="1387"/>
      <c r="E123" s="1387"/>
      <c r="F123" s="1387"/>
      <c r="G123" s="1387"/>
      <c r="H123" s="1387"/>
      <c r="I123" s="1387"/>
      <c r="J123" s="1389">
        <f>J120*J122</f>
        <v>2050</v>
      </c>
      <c r="K123" s="1390"/>
      <c r="L123" s="1391"/>
      <c r="M123" s="1392"/>
      <c r="N123" s="1393"/>
      <c r="O123" s="1394"/>
      <c r="P123" s="1479">
        <f>P120/2</f>
        <v>399190.90909090906</v>
      </c>
      <c r="Q123" s="1480"/>
      <c r="R123" s="1481"/>
      <c r="S123" s="1499">
        <f>S10</f>
        <v>0.13</v>
      </c>
      <c r="T123" s="1483"/>
      <c r="U123" s="1484"/>
      <c r="V123" s="1385">
        <f>P123*S123</f>
        <v>51894.818181818177</v>
      </c>
      <c r="W123" s="1386"/>
      <c r="X123" s="1386"/>
      <c r="Y123" s="111"/>
      <c r="Z123" s="3"/>
    </row>
    <row r="124" spans="1:26" ht="15" customHeight="1" x14ac:dyDescent="0.3">
      <c r="A124" s="3"/>
      <c r="B124" s="55"/>
      <c r="C124" s="931" t="s">
        <v>89</v>
      </c>
      <c r="D124" s="931"/>
      <c r="E124" s="931"/>
      <c r="F124" s="931"/>
      <c r="G124" s="931"/>
      <c r="H124" s="931"/>
      <c r="I124" s="931"/>
      <c r="J124" s="931"/>
      <c r="K124" s="931"/>
      <c r="L124" s="931"/>
      <c r="M124" s="931"/>
      <c r="N124" s="931"/>
      <c r="O124" s="931"/>
      <c r="P124" s="931"/>
      <c r="Q124" s="931"/>
      <c r="R124" s="931"/>
      <c r="S124" s="931"/>
      <c r="T124" s="931"/>
      <c r="U124" s="931"/>
      <c r="V124" s="931"/>
      <c r="W124" s="931"/>
      <c r="X124" s="931"/>
      <c r="Y124" s="677"/>
      <c r="Z124" s="3"/>
    </row>
    <row r="125" spans="1:26" ht="15" customHeight="1" x14ac:dyDescent="0.3">
      <c r="A125" s="3"/>
      <c r="B125" s="55"/>
      <c r="C125" s="677"/>
      <c r="D125" s="677"/>
      <c r="E125" s="677"/>
      <c r="F125" s="677"/>
      <c r="G125" s="677"/>
      <c r="H125" s="677"/>
      <c r="I125" s="677"/>
      <c r="J125" s="677"/>
      <c r="K125" s="677"/>
      <c r="L125" s="677"/>
      <c r="M125" s="677"/>
      <c r="N125" s="677"/>
      <c r="O125" s="677"/>
      <c r="P125" s="677"/>
      <c r="Q125" s="677"/>
      <c r="R125" s="677"/>
      <c r="S125" s="677"/>
      <c r="T125" s="677"/>
      <c r="U125" s="677"/>
      <c r="V125" s="677"/>
      <c r="W125" s="677"/>
      <c r="X125" s="677"/>
      <c r="Y125" s="677"/>
      <c r="Z125" s="3"/>
    </row>
    <row r="126" spans="1:26" ht="15" customHeight="1" x14ac:dyDescent="0.3">
      <c r="A126" s="3"/>
      <c r="B126" s="55"/>
      <c r="C126" s="677"/>
      <c r="D126" s="677"/>
      <c r="E126" s="677"/>
      <c r="F126" s="677"/>
      <c r="G126" s="677"/>
      <c r="H126" s="677"/>
      <c r="I126" s="677"/>
      <c r="J126" s="677"/>
      <c r="K126" s="677"/>
      <c r="L126" s="677"/>
      <c r="M126" s="677"/>
      <c r="N126" s="677"/>
      <c r="O126" s="677"/>
      <c r="P126" s="677"/>
      <c r="Q126" s="677"/>
      <c r="R126" s="677"/>
      <c r="S126" s="677"/>
      <c r="T126" s="677"/>
      <c r="U126" s="677"/>
      <c r="V126" s="677"/>
      <c r="W126" s="677"/>
      <c r="X126" s="677"/>
      <c r="Y126" s="677"/>
      <c r="Z126" s="3"/>
    </row>
    <row r="127" spans="1:26" ht="15" customHeight="1" x14ac:dyDescent="0.3">
      <c r="A127" s="3"/>
      <c r="B127" s="55"/>
      <c r="C127" s="485"/>
      <c r="D127" s="485"/>
      <c r="E127" s="485"/>
      <c r="F127" s="485"/>
      <c r="G127" s="485"/>
      <c r="H127" s="485"/>
      <c r="I127" s="485"/>
      <c r="J127" s="485"/>
      <c r="K127" s="485"/>
      <c r="L127" s="485"/>
      <c r="M127" s="485"/>
      <c r="N127" s="485"/>
      <c r="O127" s="485"/>
      <c r="P127" s="485"/>
      <c r="Q127" s="485"/>
      <c r="R127" s="485"/>
      <c r="S127" s="485"/>
      <c r="T127" s="485"/>
      <c r="U127" s="485"/>
      <c r="V127" s="485"/>
      <c r="W127" s="485"/>
      <c r="X127" s="485"/>
      <c r="Y127" s="677"/>
      <c r="Z127" s="3"/>
    </row>
    <row r="128" spans="1:26" ht="15" customHeight="1" x14ac:dyDescent="0.3">
      <c r="A128" s="15"/>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5"/>
      <c r="Y128" s="15"/>
      <c r="Z128" s="15"/>
    </row>
    <row r="129" spans="1:26" ht="15" customHeight="1" x14ac:dyDescent="0.3">
      <c r="A129" s="1"/>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
      <c r="Y129" s="1"/>
      <c r="Z129" s="1"/>
    </row>
    <row r="130" spans="1:26" ht="15" customHeight="1" x14ac:dyDescent="0.3">
      <c r="A130" s="3"/>
      <c r="B130" s="30" t="s">
        <v>132</v>
      </c>
      <c r="C130" s="485"/>
      <c r="D130" s="485"/>
      <c r="E130" s="485"/>
      <c r="F130" s="485"/>
      <c r="G130" s="485"/>
      <c r="H130" s="485"/>
      <c r="I130" s="485"/>
      <c r="J130" s="485"/>
      <c r="K130" s="485"/>
      <c r="L130" s="485"/>
      <c r="M130" s="485"/>
      <c r="N130" s="485"/>
      <c r="O130" s="485"/>
      <c r="P130" s="485"/>
      <c r="Q130" s="485"/>
      <c r="R130" s="485"/>
      <c r="S130" s="485"/>
      <c r="T130" s="485"/>
      <c r="U130" s="485"/>
      <c r="V130" s="485"/>
      <c r="W130" s="485"/>
      <c r="X130" s="3"/>
      <c r="Y130" s="3"/>
      <c r="Z130" s="3"/>
    </row>
    <row r="131" spans="1:26" ht="15" customHeight="1" x14ac:dyDescent="0.3">
      <c r="A131" s="3"/>
      <c r="B131" s="485"/>
      <c r="C131" s="485"/>
      <c r="D131" s="485"/>
      <c r="E131" s="485"/>
      <c r="F131" s="485"/>
      <c r="G131" s="485"/>
      <c r="H131" s="485"/>
      <c r="I131" s="485"/>
      <c r="J131" s="485"/>
      <c r="K131" s="485"/>
      <c r="L131" s="485"/>
      <c r="M131" s="485"/>
      <c r="N131" s="485"/>
      <c r="O131" s="485"/>
      <c r="P131" s="485"/>
      <c r="Q131" s="485"/>
      <c r="R131" s="485"/>
      <c r="S131" s="485"/>
      <c r="T131" s="485"/>
      <c r="U131" s="485"/>
      <c r="V131" s="485"/>
      <c r="W131" s="485"/>
      <c r="X131" s="3"/>
      <c r="Y131" s="3"/>
      <c r="Z131" s="3"/>
    </row>
    <row r="132" spans="1:26" ht="1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 customHeight="1" thickBot="1" x14ac:dyDescent="0.35">
      <c r="A133" s="3"/>
      <c r="B133" s="1245" t="s">
        <v>130</v>
      </c>
      <c r="C133" s="1473"/>
      <c r="D133" s="1227" t="s">
        <v>131</v>
      </c>
      <c r="E133" s="1227"/>
      <c r="F133" s="1227"/>
      <c r="G133" s="3"/>
      <c r="H133" s="3"/>
      <c r="I133" s="3"/>
      <c r="J133" s="3"/>
      <c r="K133" s="3"/>
      <c r="L133" s="3"/>
      <c r="M133" s="3"/>
      <c r="N133" s="3"/>
      <c r="O133" s="3"/>
      <c r="P133" s="3"/>
      <c r="Q133" s="3"/>
      <c r="R133" s="3"/>
      <c r="S133" s="3"/>
      <c r="T133" s="3"/>
      <c r="U133" s="3"/>
      <c r="V133" s="3"/>
      <c r="W133" s="3"/>
      <c r="X133" s="3"/>
      <c r="Y133" s="3"/>
      <c r="Z133" s="3"/>
    </row>
    <row r="134" spans="1:26" ht="15" customHeight="1" x14ac:dyDescent="0.3">
      <c r="A134" s="3"/>
      <c r="B134" s="224" t="s">
        <v>113</v>
      </c>
      <c r="C134" s="122"/>
      <c r="D134" s="1485">
        <f>V13</f>
        <v>103789.63636363635</v>
      </c>
      <c r="E134" s="1486"/>
      <c r="F134" s="1487"/>
      <c r="G134" s="3"/>
      <c r="H134" s="3"/>
      <c r="I134" s="3"/>
      <c r="J134" s="3"/>
      <c r="K134" s="3"/>
      <c r="L134" s="3"/>
      <c r="M134" s="3"/>
      <c r="N134" s="3"/>
      <c r="O134" s="3"/>
      <c r="P134" s="3"/>
      <c r="Q134" s="3"/>
      <c r="R134" s="3"/>
      <c r="S134" s="3"/>
      <c r="T134" s="3"/>
      <c r="U134" s="3"/>
      <c r="V134" s="3"/>
      <c r="W134" s="3"/>
      <c r="X134" s="3"/>
      <c r="Y134" s="3"/>
      <c r="Z134" s="3"/>
    </row>
    <row r="135" spans="1:26" ht="15" customHeight="1" x14ac:dyDescent="0.3">
      <c r="A135" s="3"/>
      <c r="B135" s="225" t="s">
        <v>114</v>
      </c>
      <c r="C135" s="124"/>
      <c r="D135" s="1474">
        <f>V22</f>
        <v>129634.64196428572</v>
      </c>
      <c r="E135" s="1230"/>
      <c r="F135" s="1475"/>
      <c r="G135" s="3"/>
      <c r="H135" s="3"/>
      <c r="I135" s="3"/>
      <c r="J135" s="3"/>
      <c r="K135" s="3"/>
      <c r="L135" s="3"/>
      <c r="M135" s="3"/>
      <c r="N135" s="3"/>
      <c r="O135" s="3"/>
      <c r="P135" s="3"/>
      <c r="Q135" s="3"/>
      <c r="R135" s="3"/>
      <c r="S135" s="3"/>
      <c r="T135" s="3"/>
      <c r="U135" s="3"/>
      <c r="V135" s="3"/>
      <c r="W135" s="3"/>
      <c r="X135" s="3"/>
      <c r="Y135" s="3"/>
      <c r="Z135" s="3"/>
    </row>
    <row r="136" spans="1:26" ht="15" customHeight="1" x14ac:dyDescent="0.3">
      <c r="A136" s="3"/>
      <c r="B136" s="226" t="s">
        <v>117</v>
      </c>
      <c r="C136" s="126"/>
      <c r="D136" s="1469">
        <f>V30</f>
        <v>124244.18453571427</v>
      </c>
      <c r="E136" s="1215"/>
      <c r="F136" s="1470"/>
      <c r="G136" s="3"/>
      <c r="H136" s="3"/>
      <c r="I136" s="3"/>
      <c r="J136" s="3"/>
      <c r="K136" s="3"/>
      <c r="L136" s="3"/>
      <c r="M136" s="3"/>
      <c r="N136" s="3"/>
      <c r="O136" s="3"/>
      <c r="P136" s="3"/>
      <c r="Q136" s="3"/>
      <c r="R136" s="3"/>
      <c r="S136" s="3"/>
      <c r="T136" s="3"/>
      <c r="U136" s="3"/>
      <c r="V136" s="3"/>
      <c r="W136" s="3"/>
      <c r="X136" s="3"/>
      <c r="Y136" s="3"/>
      <c r="Z136" s="3"/>
    </row>
    <row r="137" spans="1:26" ht="15" customHeight="1" x14ac:dyDescent="0.3">
      <c r="A137" s="3"/>
      <c r="B137" s="227" t="s">
        <v>118</v>
      </c>
      <c r="C137" s="128"/>
      <c r="D137" s="1471">
        <f>V40</f>
        <v>112789.46250000001</v>
      </c>
      <c r="E137" s="1218"/>
      <c r="F137" s="1472"/>
      <c r="G137" s="3"/>
      <c r="H137" s="3"/>
      <c r="I137" s="3"/>
      <c r="J137" s="3"/>
      <c r="K137" s="3"/>
      <c r="L137" s="3"/>
      <c r="M137" s="3"/>
      <c r="N137" s="3"/>
      <c r="O137" s="3"/>
      <c r="P137" s="3"/>
      <c r="Q137" s="3"/>
      <c r="R137" s="3"/>
      <c r="S137" s="3"/>
      <c r="T137" s="3"/>
      <c r="U137" s="3"/>
      <c r="V137" s="3"/>
      <c r="W137" s="3"/>
      <c r="X137" s="3"/>
      <c r="Y137" s="3"/>
      <c r="Z137" s="3"/>
    </row>
    <row r="138" spans="1:26" ht="15" customHeight="1" x14ac:dyDescent="0.3">
      <c r="A138" s="3"/>
      <c r="B138" s="186" t="s">
        <v>120</v>
      </c>
      <c r="C138" s="130"/>
      <c r="D138" s="1474">
        <f>V49</f>
        <v>118648.65535714287</v>
      </c>
      <c r="E138" s="1230"/>
      <c r="F138" s="1475"/>
      <c r="G138" s="3"/>
      <c r="H138" s="3"/>
      <c r="I138" s="3"/>
      <c r="J138" s="3"/>
      <c r="K138" s="3"/>
      <c r="L138" s="3"/>
      <c r="M138" s="3"/>
      <c r="N138" s="3"/>
      <c r="O138" s="3"/>
      <c r="P138" s="3"/>
      <c r="Q138" s="3"/>
      <c r="R138" s="3"/>
      <c r="S138" s="3"/>
      <c r="T138" s="3"/>
      <c r="U138" s="3"/>
      <c r="V138" s="3"/>
      <c r="W138" s="3"/>
      <c r="X138" s="3"/>
      <c r="Y138" s="3"/>
      <c r="Z138" s="3"/>
    </row>
    <row r="139" spans="1:26" ht="15" customHeight="1" x14ac:dyDescent="0.3">
      <c r="A139" s="3"/>
      <c r="B139" s="116" t="s">
        <v>121</v>
      </c>
      <c r="C139" s="132"/>
      <c r="D139" s="1469">
        <f>V57</f>
        <v>109742.68221428573</v>
      </c>
      <c r="E139" s="1215"/>
      <c r="F139" s="1470"/>
      <c r="G139" s="3"/>
      <c r="H139" s="3"/>
      <c r="I139" s="3"/>
      <c r="J139" s="3"/>
      <c r="K139" s="3"/>
      <c r="L139" s="3"/>
      <c r="M139" s="3"/>
      <c r="N139" s="3"/>
      <c r="O139" s="3"/>
      <c r="P139" s="3"/>
      <c r="Q139" s="3"/>
      <c r="R139" s="3"/>
      <c r="S139" s="3"/>
      <c r="T139" s="3"/>
      <c r="U139" s="3"/>
      <c r="V139" s="3"/>
      <c r="W139" s="3"/>
      <c r="X139" s="3"/>
      <c r="Y139" s="3"/>
      <c r="Z139" s="3"/>
    </row>
    <row r="140" spans="1:26" ht="15" customHeight="1" x14ac:dyDescent="0.3">
      <c r="A140" s="3"/>
      <c r="B140" s="228" t="s">
        <v>122</v>
      </c>
      <c r="C140" s="134"/>
      <c r="D140" s="1471">
        <f>V72</f>
        <v>90817.489285714299</v>
      </c>
      <c r="E140" s="1218"/>
      <c r="F140" s="1472"/>
      <c r="G140" s="3"/>
      <c r="H140" s="3"/>
      <c r="I140" s="3"/>
      <c r="J140" s="3"/>
      <c r="K140" s="3"/>
      <c r="L140" s="3"/>
      <c r="M140" s="3"/>
      <c r="N140" s="3"/>
      <c r="O140" s="3"/>
      <c r="P140" s="3"/>
      <c r="Q140" s="3"/>
      <c r="R140" s="3"/>
      <c r="S140" s="3"/>
      <c r="T140" s="3"/>
      <c r="U140" s="3"/>
      <c r="V140" s="3"/>
      <c r="W140" s="3"/>
      <c r="X140" s="3"/>
      <c r="Y140" s="3"/>
      <c r="Z140" s="3"/>
    </row>
    <row r="141" spans="1:26" ht="15" customHeight="1" x14ac:dyDescent="0.3">
      <c r="A141" s="3"/>
      <c r="B141" s="229" t="s">
        <v>126</v>
      </c>
      <c r="C141" s="136"/>
      <c r="D141" s="1474">
        <f>V82</f>
        <v>88986.491517857154</v>
      </c>
      <c r="E141" s="1230"/>
      <c r="F141" s="1475"/>
      <c r="G141" s="3"/>
      <c r="H141" s="3"/>
      <c r="I141" s="3"/>
      <c r="J141" s="3"/>
      <c r="K141" s="3"/>
      <c r="L141" s="3"/>
      <c r="M141" s="3"/>
      <c r="N141" s="3"/>
      <c r="O141" s="3"/>
      <c r="P141" s="3"/>
      <c r="Q141" s="3"/>
      <c r="R141" s="3"/>
      <c r="S141" s="3"/>
      <c r="T141" s="3"/>
      <c r="U141" s="3"/>
      <c r="V141" s="3"/>
      <c r="W141" s="3"/>
      <c r="X141" s="3"/>
      <c r="Y141" s="3"/>
      <c r="Z141" s="3"/>
    </row>
    <row r="142" spans="1:26" ht="15" customHeight="1" x14ac:dyDescent="0.3">
      <c r="A142" s="3"/>
      <c r="B142" s="118" t="s">
        <v>127</v>
      </c>
      <c r="C142" s="138"/>
      <c r="D142" s="1469">
        <f>V91</f>
        <v>88400.572232142877</v>
      </c>
      <c r="E142" s="1215"/>
      <c r="F142" s="1470"/>
      <c r="G142" s="3"/>
      <c r="H142" s="3"/>
      <c r="I142" s="3"/>
      <c r="J142" s="3"/>
      <c r="K142" s="3"/>
      <c r="L142" s="3"/>
      <c r="M142" s="3"/>
      <c r="N142" s="3"/>
      <c r="O142" s="3"/>
      <c r="P142" s="3"/>
      <c r="Q142" s="3"/>
      <c r="R142" s="3"/>
      <c r="S142" s="3"/>
      <c r="T142" s="3"/>
      <c r="U142" s="3"/>
      <c r="V142" s="3"/>
      <c r="W142" s="3"/>
      <c r="X142" s="3"/>
      <c r="Y142" s="3"/>
      <c r="Z142" s="3"/>
    </row>
    <row r="143" spans="1:26" ht="15" customHeight="1" x14ac:dyDescent="0.3">
      <c r="A143" s="3"/>
      <c r="B143" s="115" t="s">
        <v>128</v>
      </c>
      <c r="C143" s="140"/>
      <c r="D143" s="1469">
        <f>V106</f>
        <v>84841.112571428588</v>
      </c>
      <c r="E143" s="1215"/>
      <c r="F143" s="1470"/>
      <c r="G143" s="3"/>
      <c r="H143" s="3"/>
      <c r="I143" s="3"/>
      <c r="J143" s="3"/>
      <c r="K143" s="3"/>
      <c r="L143" s="3"/>
      <c r="M143" s="3"/>
      <c r="N143" s="3"/>
      <c r="O143" s="3"/>
      <c r="P143" s="3"/>
      <c r="Q143" s="3"/>
      <c r="R143" s="3"/>
      <c r="S143" s="3"/>
      <c r="T143" s="3"/>
      <c r="U143" s="3"/>
      <c r="V143" s="3"/>
      <c r="W143" s="3"/>
      <c r="X143" s="3"/>
      <c r="Y143" s="3"/>
      <c r="Z143" s="3"/>
    </row>
    <row r="144" spans="1:26" ht="15" customHeight="1" x14ac:dyDescent="0.3">
      <c r="A144" s="3"/>
      <c r="B144" s="230" t="s">
        <v>129</v>
      </c>
      <c r="C144" s="142"/>
      <c r="D144" s="1471">
        <f>V115</f>
        <v>72741.879321428569</v>
      </c>
      <c r="E144" s="1218"/>
      <c r="F144" s="1472"/>
      <c r="G144" s="3"/>
      <c r="H144" s="3"/>
      <c r="I144" s="3"/>
      <c r="J144" s="3"/>
      <c r="K144" s="3"/>
      <c r="L144" s="3"/>
      <c r="M144" s="3"/>
      <c r="N144" s="3"/>
      <c r="O144" s="3"/>
      <c r="P144" s="3"/>
      <c r="Q144" s="3"/>
      <c r="R144" s="3"/>
      <c r="S144" s="3"/>
      <c r="T144" s="3"/>
      <c r="U144" s="3"/>
      <c r="V144" s="3"/>
      <c r="W144" s="3"/>
      <c r="X144" s="3"/>
      <c r="Y144" s="3"/>
      <c r="Z144" s="3"/>
    </row>
    <row r="145" spans="1:26" ht="15" customHeight="1" thickBot="1" x14ac:dyDescent="0.35">
      <c r="A145" s="3"/>
      <c r="B145" s="231" t="s">
        <v>135</v>
      </c>
      <c r="C145" s="144"/>
      <c r="D145" s="1467">
        <f>V123</f>
        <v>51894.818181818177</v>
      </c>
      <c r="E145" s="1221"/>
      <c r="F145" s="1468"/>
      <c r="G145" s="3"/>
      <c r="H145" s="3"/>
      <c r="I145" s="3"/>
      <c r="J145" s="3"/>
      <c r="K145" s="3"/>
      <c r="L145" s="3"/>
      <c r="M145" s="3"/>
      <c r="N145" s="3"/>
      <c r="O145" s="3"/>
      <c r="P145" s="3"/>
      <c r="Q145" s="3"/>
      <c r="R145" s="3"/>
      <c r="S145" s="3"/>
      <c r="T145" s="3"/>
      <c r="U145" s="3"/>
      <c r="V145" s="3"/>
      <c r="W145" s="3"/>
      <c r="X145" s="3"/>
      <c r="Y145" s="3"/>
      <c r="Z145" s="3"/>
    </row>
    <row r="146" spans="1:26" ht="1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 customHeight="1" x14ac:dyDescent="0.3">
      <c r="A151" s="79"/>
      <c r="B151" s="3"/>
      <c r="C151" s="3"/>
      <c r="D151" s="3"/>
      <c r="E151" s="3"/>
      <c r="F151" s="3"/>
      <c r="G151" s="79"/>
      <c r="H151" s="79"/>
      <c r="I151" s="79"/>
      <c r="J151" s="79"/>
      <c r="K151" s="79"/>
      <c r="L151" s="79"/>
      <c r="M151" s="79"/>
      <c r="N151" s="79"/>
      <c r="O151" s="79"/>
      <c r="P151" s="79"/>
      <c r="Q151" s="79"/>
      <c r="R151" s="79"/>
      <c r="S151" s="79"/>
      <c r="T151" s="79"/>
      <c r="U151" s="79"/>
      <c r="V151" s="79"/>
      <c r="W151" s="79"/>
      <c r="X151" s="79"/>
      <c r="Y151" s="79"/>
      <c r="Z151" s="79"/>
    </row>
    <row r="152" spans="1:26" ht="15" customHeight="1" x14ac:dyDescent="0.3">
      <c r="A152" s="79"/>
      <c r="B152" s="3"/>
      <c r="C152" s="3"/>
      <c r="D152" s="3"/>
      <c r="E152" s="3"/>
      <c r="F152" s="3"/>
      <c r="G152" s="79"/>
      <c r="H152" s="79"/>
      <c r="I152" s="79"/>
      <c r="J152" s="79"/>
      <c r="K152" s="79"/>
      <c r="L152" s="79"/>
      <c r="M152" s="79"/>
      <c r="N152" s="79"/>
      <c r="O152" s="79"/>
      <c r="P152" s="79"/>
      <c r="Q152" s="79"/>
      <c r="R152" s="79"/>
      <c r="S152" s="79"/>
      <c r="T152" s="79"/>
      <c r="U152" s="79"/>
      <c r="V152" s="79"/>
      <c r="W152" s="79"/>
      <c r="X152" s="79"/>
      <c r="Y152" s="79"/>
      <c r="Z152" s="79"/>
    </row>
    <row r="153" spans="1:26" ht="15" customHeight="1" x14ac:dyDescent="0.3">
      <c r="A153" s="79"/>
      <c r="B153" s="3"/>
      <c r="C153" s="3"/>
      <c r="D153" s="3"/>
      <c r="E153" s="3"/>
      <c r="F153" s="3"/>
      <c r="G153" s="79"/>
      <c r="H153" s="79"/>
      <c r="I153" s="79"/>
      <c r="J153" s="79"/>
      <c r="K153" s="79"/>
      <c r="L153" s="79"/>
      <c r="M153" s="79"/>
      <c r="N153" s="79"/>
      <c r="O153" s="79"/>
      <c r="P153" s="79"/>
      <c r="Q153" s="79"/>
      <c r="R153" s="79"/>
      <c r="S153" s="79"/>
      <c r="T153" s="79"/>
      <c r="U153" s="79"/>
      <c r="V153" s="79"/>
      <c r="W153" s="79"/>
      <c r="X153" s="79"/>
      <c r="Y153" s="79"/>
      <c r="Z153" s="79"/>
    </row>
    <row r="154" spans="1:26" ht="15" customHeight="1" x14ac:dyDescent="0.3">
      <c r="A154" s="79"/>
      <c r="B154" s="3"/>
      <c r="C154" s="3"/>
      <c r="D154" s="3"/>
      <c r="E154" s="3"/>
      <c r="F154" s="3"/>
      <c r="G154" s="79"/>
      <c r="H154" s="79"/>
      <c r="I154" s="79"/>
      <c r="J154" s="79"/>
      <c r="K154" s="79"/>
      <c r="L154" s="79"/>
      <c r="M154" s="79"/>
      <c r="N154" s="79"/>
      <c r="O154" s="79"/>
      <c r="P154" s="79"/>
      <c r="Q154" s="79"/>
      <c r="R154" s="79"/>
      <c r="S154" s="79"/>
      <c r="T154" s="79"/>
      <c r="U154" s="79"/>
      <c r="V154" s="79"/>
      <c r="W154" s="79"/>
      <c r="X154" s="79"/>
      <c r="Y154" s="79"/>
      <c r="Z154" s="79"/>
    </row>
    <row r="155" spans="1:26" ht="15" customHeight="1" x14ac:dyDescent="0.3">
      <c r="A155" s="79"/>
      <c r="B155" s="3"/>
      <c r="C155" s="3"/>
      <c r="D155" s="3"/>
      <c r="E155" s="3"/>
      <c r="F155" s="3"/>
      <c r="G155" s="79"/>
      <c r="H155" s="79"/>
      <c r="I155" s="79"/>
      <c r="J155" s="79"/>
      <c r="K155" s="79"/>
      <c r="L155" s="79"/>
      <c r="M155" s="79"/>
      <c r="N155" s="79"/>
      <c r="O155" s="79"/>
      <c r="P155" s="79"/>
      <c r="Q155" s="79"/>
      <c r="R155" s="79"/>
      <c r="S155" s="79"/>
      <c r="T155" s="79"/>
      <c r="U155" s="79"/>
      <c r="V155" s="79"/>
      <c r="W155" s="79"/>
      <c r="X155" s="79"/>
      <c r="Y155" s="79"/>
      <c r="Z155" s="79"/>
    </row>
    <row r="156" spans="1:26" ht="15" customHeight="1" x14ac:dyDescent="0.3">
      <c r="A156" s="79"/>
      <c r="B156" s="3"/>
      <c r="C156" s="3"/>
      <c r="D156" s="3"/>
      <c r="E156" s="3"/>
      <c r="F156" s="3"/>
      <c r="G156" s="79"/>
      <c r="H156" s="79"/>
      <c r="I156" s="79"/>
      <c r="J156" s="79"/>
      <c r="K156" s="79"/>
      <c r="L156" s="79"/>
      <c r="M156" s="79"/>
      <c r="N156" s="79"/>
      <c r="O156" s="79"/>
      <c r="P156" s="79"/>
      <c r="Q156" s="79"/>
      <c r="R156" s="79"/>
      <c r="S156" s="79"/>
      <c r="T156" s="79"/>
      <c r="U156" s="79"/>
      <c r="V156" s="79"/>
      <c r="W156" s="79"/>
      <c r="X156" s="79"/>
      <c r="Y156" s="79"/>
      <c r="Z156" s="79"/>
    </row>
    <row r="157" spans="1:26" ht="15" customHeight="1" x14ac:dyDescent="0.3">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ht="15" customHeight="1" x14ac:dyDescent="0.3">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ht="15" customHeight="1" x14ac:dyDescent="0.3">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ht="15" customHeight="1" x14ac:dyDescent="0.3">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sheetData>
  <mergeCells count="440">
    <mergeCell ref="C10:I10"/>
    <mergeCell ref="J10:L10"/>
    <mergeCell ref="M10:O10"/>
    <mergeCell ref="P10:R10"/>
    <mergeCell ref="S10:U10"/>
    <mergeCell ref="V10:X10"/>
    <mergeCell ref="C8:I9"/>
    <mergeCell ref="J8:L9"/>
    <mergeCell ref="M8:O9"/>
    <mergeCell ref="P8:R9"/>
    <mergeCell ref="S8:U9"/>
    <mergeCell ref="V8:X9"/>
    <mergeCell ref="V11:X11"/>
    <mergeCell ref="C12:G12"/>
    <mergeCell ref="H12:I12"/>
    <mergeCell ref="J12:L12"/>
    <mergeCell ref="M12:O12"/>
    <mergeCell ref="P12:R12"/>
    <mergeCell ref="S12:U12"/>
    <mergeCell ref="V12:X12"/>
    <mergeCell ref="C11:G11"/>
    <mergeCell ref="H11:I11"/>
    <mergeCell ref="J11:L11"/>
    <mergeCell ref="M11:O11"/>
    <mergeCell ref="P11:R11"/>
    <mergeCell ref="S11:U11"/>
    <mergeCell ref="C19:I19"/>
    <mergeCell ref="J19:L19"/>
    <mergeCell ref="M19:O19"/>
    <mergeCell ref="P19:R19"/>
    <mergeCell ref="S19:U19"/>
    <mergeCell ref="V19:X19"/>
    <mergeCell ref="V13:X13"/>
    <mergeCell ref="P15:R15"/>
    <mergeCell ref="S15:U15"/>
    <mergeCell ref="P16:R16"/>
    <mergeCell ref="C17:I18"/>
    <mergeCell ref="J17:L18"/>
    <mergeCell ref="M17:O18"/>
    <mergeCell ref="P17:R18"/>
    <mergeCell ref="S17:U18"/>
    <mergeCell ref="V17:X18"/>
    <mergeCell ref="C13:G13"/>
    <mergeCell ref="H13:I13"/>
    <mergeCell ref="J13:L13"/>
    <mergeCell ref="M13:O13"/>
    <mergeCell ref="P13:R13"/>
    <mergeCell ref="S13:U13"/>
    <mergeCell ref="V20:X20"/>
    <mergeCell ref="C21:G21"/>
    <mergeCell ref="H21:I21"/>
    <mergeCell ref="J21:L21"/>
    <mergeCell ref="M21:O21"/>
    <mergeCell ref="P21:R21"/>
    <mergeCell ref="S21:U21"/>
    <mergeCell ref="V21:X21"/>
    <mergeCell ref="C20:G20"/>
    <mergeCell ref="H20:I20"/>
    <mergeCell ref="J20:L20"/>
    <mergeCell ref="M20:O20"/>
    <mergeCell ref="P20:R20"/>
    <mergeCell ref="S20:U20"/>
    <mergeCell ref="C27:I27"/>
    <mergeCell ref="J27:L27"/>
    <mergeCell ref="M27:O27"/>
    <mergeCell ref="P27:R27"/>
    <mergeCell ref="S27:U27"/>
    <mergeCell ref="V27:X27"/>
    <mergeCell ref="V22:X22"/>
    <mergeCell ref="C23:X23"/>
    <mergeCell ref="C25:I26"/>
    <mergeCell ref="J25:L26"/>
    <mergeCell ref="M25:O26"/>
    <mergeCell ref="P25:R26"/>
    <mergeCell ref="S25:U26"/>
    <mergeCell ref="V25:X26"/>
    <mergeCell ref="C22:G22"/>
    <mergeCell ref="H22:I22"/>
    <mergeCell ref="J22:L22"/>
    <mergeCell ref="M22:O22"/>
    <mergeCell ref="P22:R22"/>
    <mergeCell ref="S22:U22"/>
    <mergeCell ref="V28:X28"/>
    <mergeCell ref="C29:G29"/>
    <mergeCell ref="H29:I29"/>
    <mergeCell ref="J29:L29"/>
    <mergeCell ref="M29:O29"/>
    <mergeCell ref="P29:R29"/>
    <mergeCell ref="S29:U29"/>
    <mergeCell ref="V29:X29"/>
    <mergeCell ref="C28:G28"/>
    <mergeCell ref="H28:I28"/>
    <mergeCell ref="J28:L28"/>
    <mergeCell ref="M28:O28"/>
    <mergeCell ref="P28:R28"/>
    <mergeCell ref="S28:U28"/>
    <mergeCell ref="C37:I37"/>
    <mergeCell ref="J37:L37"/>
    <mergeCell ref="M37:O37"/>
    <mergeCell ref="P37:R37"/>
    <mergeCell ref="S37:U37"/>
    <mergeCell ref="V37:X37"/>
    <mergeCell ref="V30:X30"/>
    <mergeCell ref="C35:I36"/>
    <mergeCell ref="J35:L36"/>
    <mergeCell ref="M35:O36"/>
    <mergeCell ref="P35:R36"/>
    <mergeCell ref="S35:U36"/>
    <mergeCell ref="V35:X36"/>
    <mergeCell ref="C30:G30"/>
    <mergeCell ref="H30:I30"/>
    <mergeCell ref="J30:L30"/>
    <mergeCell ref="M30:O30"/>
    <mergeCell ref="P30:R30"/>
    <mergeCell ref="S30:U30"/>
    <mergeCell ref="V38:X38"/>
    <mergeCell ref="C39:G39"/>
    <mergeCell ref="H39:I39"/>
    <mergeCell ref="J39:L39"/>
    <mergeCell ref="M39:O39"/>
    <mergeCell ref="P39:R39"/>
    <mergeCell ref="S39:U39"/>
    <mergeCell ref="V39:X39"/>
    <mergeCell ref="C38:G38"/>
    <mergeCell ref="H38:I38"/>
    <mergeCell ref="J38:L38"/>
    <mergeCell ref="M38:O38"/>
    <mergeCell ref="P38:R38"/>
    <mergeCell ref="S38:U38"/>
    <mergeCell ref="C46:I46"/>
    <mergeCell ref="J46:L46"/>
    <mergeCell ref="M46:O46"/>
    <mergeCell ref="P46:R46"/>
    <mergeCell ref="S46:U46"/>
    <mergeCell ref="V46:X46"/>
    <mergeCell ref="V40:X40"/>
    <mergeCell ref="C44:I45"/>
    <mergeCell ref="J44:L45"/>
    <mergeCell ref="M44:O45"/>
    <mergeCell ref="P44:R45"/>
    <mergeCell ref="S44:U45"/>
    <mergeCell ref="V44:X45"/>
    <mergeCell ref="C40:G40"/>
    <mergeCell ref="H40:I40"/>
    <mergeCell ref="J40:L40"/>
    <mergeCell ref="M40:O40"/>
    <mergeCell ref="P40:R40"/>
    <mergeCell ref="S40:U40"/>
    <mergeCell ref="V47:X47"/>
    <mergeCell ref="C48:G48"/>
    <mergeCell ref="H48:I48"/>
    <mergeCell ref="J48:L48"/>
    <mergeCell ref="M48:O48"/>
    <mergeCell ref="P48:R48"/>
    <mergeCell ref="S48:U48"/>
    <mergeCell ref="V48:X48"/>
    <mergeCell ref="C47:G47"/>
    <mergeCell ref="H47:I47"/>
    <mergeCell ref="J47:L47"/>
    <mergeCell ref="M47:O47"/>
    <mergeCell ref="P47:R47"/>
    <mergeCell ref="S47:U47"/>
    <mergeCell ref="C54:I54"/>
    <mergeCell ref="J54:L54"/>
    <mergeCell ref="M54:O54"/>
    <mergeCell ref="P54:R54"/>
    <mergeCell ref="S54:U54"/>
    <mergeCell ref="V54:X54"/>
    <mergeCell ref="V49:X49"/>
    <mergeCell ref="B50:W50"/>
    <mergeCell ref="C52:I53"/>
    <mergeCell ref="J52:L53"/>
    <mergeCell ref="M52:O53"/>
    <mergeCell ref="P52:R53"/>
    <mergeCell ref="S52:U53"/>
    <mergeCell ref="V52:X53"/>
    <mergeCell ref="C49:G49"/>
    <mergeCell ref="H49:I49"/>
    <mergeCell ref="J49:L49"/>
    <mergeCell ref="M49:O49"/>
    <mergeCell ref="P49:R49"/>
    <mergeCell ref="S49:U49"/>
    <mergeCell ref="V55:X55"/>
    <mergeCell ref="C56:G56"/>
    <mergeCell ref="H56:I56"/>
    <mergeCell ref="J56:L56"/>
    <mergeCell ref="M56:O56"/>
    <mergeCell ref="P56:R56"/>
    <mergeCell ref="S56:U56"/>
    <mergeCell ref="V56:X56"/>
    <mergeCell ref="C55:G55"/>
    <mergeCell ref="H55:I55"/>
    <mergeCell ref="J55:L55"/>
    <mergeCell ref="M55:O55"/>
    <mergeCell ref="P55:R55"/>
    <mergeCell ref="S55:U55"/>
    <mergeCell ref="C69:I69"/>
    <mergeCell ref="J69:L69"/>
    <mergeCell ref="M69:O69"/>
    <mergeCell ref="P69:R69"/>
    <mergeCell ref="S69:U69"/>
    <mergeCell ref="V69:X69"/>
    <mergeCell ref="V57:X57"/>
    <mergeCell ref="B58:W58"/>
    <mergeCell ref="C67:I68"/>
    <mergeCell ref="J67:L68"/>
    <mergeCell ref="M67:O68"/>
    <mergeCell ref="P67:R68"/>
    <mergeCell ref="S67:U68"/>
    <mergeCell ref="V67:X68"/>
    <mergeCell ref="C57:G57"/>
    <mergeCell ref="H57:I57"/>
    <mergeCell ref="J57:L57"/>
    <mergeCell ref="M57:O57"/>
    <mergeCell ref="P57:R57"/>
    <mergeCell ref="S57:U57"/>
    <mergeCell ref="V70:X70"/>
    <mergeCell ref="C71:G71"/>
    <mergeCell ref="H71:I71"/>
    <mergeCell ref="J71:L71"/>
    <mergeCell ref="M71:O71"/>
    <mergeCell ref="P71:R71"/>
    <mergeCell ref="S71:U71"/>
    <mergeCell ref="V71:X71"/>
    <mergeCell ref="C70:G70"/>
    <mergeCell ref="H70:I70"/>
    <mergeCell ref="J70:L70"/>
    <mergeCell ref="M70:O70"/>
    <mergeCell ref="P70:R70"/>
    <mergeCell ref="S70:U70"/>
    <mergeCell ref="C78:I78"/>
    <mergeCell ref="J78:L78"/>
    <mergeCell ref="M78:O78"/>
    <mergeCell ref="P78:R78"/>
    <mergeCell ref="S78:U78"/>
    <mergeCell ref="V78:X78"/>
    <mergeCell ref="V72:X72"/>
    <mergeCell ref="C76:I77"/>
    <mergeCell ref="J76:L77"/>
    <mergeCell ref="M76:O77"/>
    <mergeCell ref="P76:R77"/>
    <mergeCell ref="S76:U77"/>
    <mergeCell ref="V76:X77"/>
    <mergeCell ref="C72:G72"/>
    <mergeCell ref="H72:I72"/>
    <mergeCell ref="J72:L72"/>
    <mergeCell ref="M72:O72"/>
    <mergeCell ref="P72:R72"/>
    <mergeCell ref="S72:U72"/>
    <mergeCell ref="V79:X79"/>
    <mergeCell ref="C80:G80"/>
    <mergeCell ref="H80:I80"/>
    <mergeCell ref="J80:L80"/>
    <mergeCell ref="M80:O80"/>
    <mergeCell ref="P80:R80"/>
    <mergeCell ref="S80:U80"/>
    <mergeCell ref="V80:X80"/>
    <mergeCell ref="C79:G79"/>
    <mergeCell ref="H79:I79"/>
    <mergeCell ref="J79:L79"/>
    <mergeCell ref="M79:O79"/>
    <mergeCell ref="P79:R79"/>
    <mergeCell ref="S79:U79"/>
    <mergeCell ref="J81:L81"/>
    <mergeCell ref="M81:O81"/>
    <mergeCell ref="P81:R81"/>
    <mergeCell ref="S81:U81"/>
    <mergeCell ref="V81:X81"/>
    <mergeCell ref="C82:G82"/>
    <mergeCell ref="H82:I82"/>
    <mergeCell ref="J82:L82"/>
    <mergeCell ref="M82:O82"/>
    <mergeCell ref="P82:R82"/>
    <mergeCell ref="C87:I87"/>
    <mergeCell ref="J87:L87"/>
    <mergeCell ref="M87:O87"/>
    <mergeCell ref="P87:R87"/>
    <mergeCell ref="S87:U87"/>
    <mergeCell ref="V87:X87"/>
    <mergeCell ref="S82:U82"/>
    <mergeCell ref="V82:X82"/>
    <mergeCell ref="B83:W83"/>
    <mergeCell ref="C85:I86"/>
    <mergeCell ref="J85:L86"/>
    <mergeCell ref="M85:O86"/>
    <mergeCell ref="P85:R86"/>
    <mergeCell ref="S85:U86"/>
    <mergeCell ref="V85:X86"/>
    <mergeCell ref="V88:X88"/>
    <mergeCell ref="C89:G89"/>
    <mergeCell ref="H89:I89"/>
    <mergeCell ref="J89:L89"/>
    <mergeCell ref="M89:O89"/>
    <mergeCell ref="P89:R89"/>
    <mergeCell ref="S89:U89"/>
    <mergeCell ref="V89:X89"/>
    <mergeCell ref="C88:G88"/>
    <mergeCell ref="H88:I88"/>
    <mergeCell ref="J88:L88"/>
    <mergeCell ref="M88:O88"/>
    <mergeCell ref="P88:R88"/>
    <mergeCell ref="S88:U88"/>
    <mergeCell ref="J90:L90"/>
    <mergeCell ref="M90:O90"/>
    <mergeCell ref="P90:R90"/>
    <mergeCell ref="S90:U90"/>
    <mergeCell ref="V90:X90"/>
    <mergeCell ref="C91:G91"/>
    <mergeCell ref="H91:I91"/>
    <mergeCell ref="J91:L91"/>
    <mergeCell ref="M91:O91"/>
    <mergeCell ref="P91:R91"/>
    <mergeCell ref="C102:I102"/>
    <mergeCell ref="J102:L102"/>
    <mergeCell ref="M102:O102"/>
    <mergeCell ref="P102:R102"/>
    <mergeCell ref="S102:U102"/>
    <mergeCell ref="V102:X102"/>
    <mergeCell ref="S91:U91"/>
    <mergeCell ref="V91:X91"/>
    <mergeCell ref="B96:W96"/>
    <mergeCell ref="C100:I101"/>
    <mergeCell ref="J100:L101"/>
    <mergeCell ref="M100:O101"/>
    <mergeCell ref="P100:R101"/>
    <mergeCell ref="S100:U101"/>
    <mergeCell ref="V100:X101"/>
    <mergeCell ref="V103:X103"/>
    <mergeCell ref="C104:G104"/>
    <mergeCell ref="H104:I104"/>
    <mergeCell ref="J104:L104"/>
    <mergeCell ref="M104:O104"/>
    <mergeCell ref="P104:R104"/>
    <mergeCell ref="S104:U104"/>
    <mergeCell ref="V104:X104"/>
    <mergeCell ref="C103:G103"/>
    <mergeCell ref="H103:I103"/>
    <mergeCell ref="J103:L103"/>
    <mergeCell ref="M103:O103"/>
    <mergeCell ref="P103:R103"/>
    <mergeCell ref="S103:U103"/>
    <mergeCell ref="J105:L105"/>
    <mergeCell ref="M105:O105"/>
    <mergeCell ref="P105:R105"/>
    <mergeCell ref="S105:U105"/>
    <mergeCell ref="V105:X105"/>
    <mergeCell ref="C106:G106"/>
    <mergeCell ref="H106:I106"/>
    <mergeCell ref="J106:L106"/>
    <mergeCell ref="M106:O106"/>
    <mergeCell ref="P106:R106"/>
    <mergeCell ref="C111:I111"/>
    <mergeCell ref="J111:L111"/>
    <mergeCell ref="M111:O111"/>
    <mergeCell ref="P111:R111"/>
    <mergeCell ref="S111:U111"/>
    <mergeCell ref="V111:X111"/>
    <mergeCell ref="S106:U106"/>
    <mergeCell ref="V106:X106"/>
    <mergeCell ref="B107:W107"/>
    <mergeCell ref="C109:I110"/>
    <mergeCell ref="J109:L110"/>
    <mergeCell ref="M109:O110"/>
    <mergeCell ref="P109:R110"/>
    <mergeCell ref="S109:U110"/>
    <mergeCell ref="V109:X110"/>
    <mergeCell ref="V112:X112"/>
    <mergeCell ref="C113:G113"/>
    <mergeCell ref="H113:I113"/>
    <mergeCell ref="J113:L113"/>
    <mergeCell ref="M113:O113"/>
    <mergeCell ref="P113:R113"/>
    <mergeCell ref="S113:U113"/>
    <mergeCell ref="V113:X113"/>
    <mergeCell ref="C112:G112"/>
    <mergeCell ref="H112:I112"/>
    <mergeCell ref="J112:L112"/>
    <mergeCell ref="M112:O112"/>
    <mergeCell ref="P112:R112"/>
    <mergeCell ref="S112:U112"/>
    <mergeCell ref="J114:L114"/>
    <mergeCell ref="M114:O114"/>
    <mergeCell ref="P114:R114"/>
    <mergeCell ref="S114:U114"/>
    <mergeCell ref="V114:X114"/>
    <mergeCell ref="C115:G115"/>
    <mergeCell ref="H115:I115"/>
    <mergeCell ref="J115:L115"/>
    <mergeCell ref="M115:O115"/>
    <mergeCell ref="P115:R115"/>
    <mergeCell ref="C120:I120"/>
    <mergeCell ref="J120:L120"/>
    <mergeCell ref="M120:O120"/>
    <mergeCell ref="P120:R120"/>
    <mergeCell ref="S120:U120"/>
    <mergeCell ref="V120:X120"/>
    <mergeCell ref="S115:U115"/>
    <mergeCell ref="V115:X115"/>
    <mergeCell ref="C118:I119"/>
    <mergeCell ref="J118:L119"/>
    <mergeCell ref="M118:O119"/>
    <mergeCell ref="P118:R119"/>
    <mergeCell ref="S118:U119"/>
    <mergeCell ref="V118:X119"/>
    <mergeCell ref="V121:X121"/>
    <mergeCell ref="C122:G122"/>
    <mergeCell ref="H122:I122"/>
    <mergeCell ref="J122:L122"/>
    <mergeCell ref="M122:O122"/>
    <mergeCell ref="P122:R122"/>
    <mergeCell ref="S122:U122"/>
    <mergeCell ref="V122:X122"/>
    <mergeCell ref="C121:G121"/>
    <mergeCell ref="H121:I121"/>
    <mergeCell ref="J121:L121"/>
    <mergeCell ref="M121:O121"/>
    <mergeCell ref="P121:R121"/>
    <mergeCell ref="S121:U121"/>
    <mergeCell ref="V123:X123"/>
    <mergeCell ref="C124:X124"/>
    <mergeCell ref="B133:C133"/>
    <mergeCell ref="D133:F133"/>
    <mergeCell ref="D134:F134"/>
    <mergeCell ref="D135:F135"/>
    <mergeCell ref="C123:G123"/>
    <mergeCell ref="H123:I123"/>
    <mergeCell ref="J123:L123"/>
    <mergeCell ref="M123:O123"/>
    <mergeCell ref="P123:R123"/>
    <mergeCell ref="S123:U123"/>
    <mergeCell ref="D142:F142"/>
    <mergeCell ref="D143:F143"/>
    <mergeCell ref="D144:F144"/>
    <mergeCell ref="D145:F145"/>
    <mergeCell ref="D136:F136"/>
    <mergeCell ref="D137:F137"/>
    <mergeCell ref="D138:F138"/>
    <mergeCell ref="D139:F139"/>
    <mergeCell ref="D140:F140"/>
    <mergeCell ref="D141:F141"/>
  </mergeCells>
  <dataValidations disablePrompts="1" count="4">
    <dataValidation allowBlank="1" showInputMessage="1" showErrorMessage="1" prompt="53.347901" sqref="JQ65512 TM65512 ADI65512 ANE65512 AXA65512 BGW65512 BQS65512 CAO65512 CKK65512 CUG65512 DEC65512 DNY65512 DXU65512 EHQ65512 ERM65512 FBI65512 FLE65512 FVA65512 GEW65512 GOS65512 GYO65512 HIK65512 HSG65512 ICC65512 ILY65512 IVU65512 JFQ65512 JPM65512 JZI65512 KJE65512 KTA65512 LCW65512 LMS65512 LWO65512 MGK65512 MQG65512 NAC65512 NJY65512 NTU65512 ODQ65512 ONM65512 OXI65512 PHE65512 PRA65512 QAW65512 QKS65512 QUO65512 REK65512 ROG65512 RYC65512 SHY65512 SRU65512 TBQ65512 TLM65512 TVI65512 UFE65512 UPA65512 UYW65512 VIS65512 VSO65512 WCK65512 WMG65512 WWC65512 JQ131048 TM131048 ADI131048 ANE131048 AXA131048 BGW131048 BQS131048 CAO131048 CKK131048 CUG131048 DEC131048 DNY131048 DXU131048 EHQ131048 ERM131048 FBI131048 FLE131048 FVA131048 GEW131048 GOS131048 GYO131048 HIK131048 HSG131048 ICC131048 ILY131048 IVU131048 JFQ131048 JPM131048 JZI131048 KJE131048 KTA131048 LCW131048 LMS131048 LWO131048 MGK131048 MQG131048 NAC131048 NJY131048 NTU131048 ODQ131048 ONM131048 OXI131048 PHE131048 PRA131048 QAW131048 QKS131048 QUO131048 REK131048 ROG131048 RYC131048 SHY131048 SRU131048 TBQ131048 TLM131048 TVI131048 UFE131048 UPA131048 UYW131048 VIS131048 VSO131048 WCK131048 WMG131048 WWC131048 JQ196584 TM196584 ADI196584 ANE196584 AXA196584 BGW196584 BQS196584 CAO196584 CKK196584 CUG196584 DEC196584 DNY196584 DXU196584 EHQ196584 ERM196584 FBI196584 FLE196584 FVA196584 GEW196584 GOS196584 GYO196584 HIK196584 HSG196584 ICC196584 ILY196584 IVU196584 JFQ196584 JPM196584 JZI196584 KJE196584 KTA196584 LCW196584 LMS196584 LWO196584 MGK196584 MQG196584 NAC196584 NJY196584 NTU196584 ODQ196584 ONM196584 OXI196584 PHE196584 PRA196584 QAW196584 QKS196584 QUO196584 REK196584 ROG196584 RYC196584 SHY196584 SRU196584 TBQ196584 TLM196584 TVI196584 UFE196584 UPA196584 UYW196584 VIS196584 VSO196584 WCK196584 WMG196584 WWC196584 JQ262120 TM262120 ADI262120 ANE262120 AXA262120 BGW262120 BQS262120 CAO262120 CKK262120 CUG262120 DEC262120 DNY262120 DXU262120 EHQ262120 ERM262120 FBI262120 FLE262120 FVA262120 GEW262120 GOS262120 GYO262120 HIK262120 HSG262120 ICC262120 ILY262120 IVU262120 JFQ262120 JPM262120 JZI262120 KJE262120 KTA262120 LCW262120 LMS262120 LWO262120 MGK262120 MQG262120 NAC262120 NJY262120 NTU262120 ODQ262120 ONM262120 OXI262120 PHE262120 PRA262120 QAW262120 QKS262120 QUO262120 REK262120 ROG262120 RYC262120 SHY262120 SRU262120 TBQ262120 TLM262120 TVI262120 UFE262120 UPA262120 UYW262120 VIS262120 VSO262120 WCK262120 WMG262120 WWC262120 JQ327656 TM327656 ADI327656 ANE327656 AXA327656 BGW327656 BQS327656 CAO327656 CKK327656 CUG327656 DEC327656 DNY327656 DXU327656 EHQ327656 ERM327656 FBI327656 FLE327656 FVA327656 GEW327656 GOS327656 GYO327656 HIK327656 HSG327656 ICC327656 ILY327656 IVU327656 JFQ327656 JPM327656 JZI327656 KJE327656 KTA327656 LCW327656 LMS327656 LWO327656 MGK327656 MQG327656 NAC327656 NJY327656 NTU327656 ODQ327656 ONM327656 OXI327656 PHE327656 PRA327656 QAW327656 QKS327656 QUO327656 REK327656 ROG327656 RYC327656 SHY327656 SRU327656 TBQ327656 TLM327656 TVI327656 UFE327656 UPA327656 UYW327656 VIS327656 VSO327656 WCK327656 WMG327656 WWC327656 JQ393192 TM393192 ADI393192 ANE393192 AXA393192 BGW393192 BQS393192 CAO393192 CKK393192 CUG393192 DEC393192 DNY393192 DXU393192 EHQ393192 ERM393192 FBI393192 FLE393192 FVA393192 GEW393192 GOS393192 GYO393192 HIK393192 HSG393192 ICC393192 ILY393192 IVU393192 JFQ393192 JPM393192 JZI393192 KJE393192 KTA393192 LCW393192 LMS393192 LWO393192 MGK393192 MQG393192 NAC393192 NJY393192 NTU393192 ODQ393192 ONM393192 OXI393192 PHE393192 PRA393192 QAW393192 QKS393192 QUO393192 REK393192 ROG393192 RYC393192 SHY393192 SRU393192 TBQ393192 TLM393192 TVI393192 UFE393192 UPA393192 UYW393192 VIS393192 VSO393192 WCK393192 WMG393192 WWC393192 JQ458728 TM458728 ADI458728 ANE458728 AXA458728 BGW458728 BQS458728 CAO458728 CKK458728 CUG458728 DEC458728 DNY458728 DXU458728 EHQ458728 ERM458728 FBI458728 FLE458728 FVA458728 GEW458728 GOS458728 GYO458728 HIK458728 HSG458728 ICC458728 ILY458728 IVU458728 JFQ458728 JPM458728 JZI458728 KJE458728 KTA458728 LCW458728 LMS458728 LWO458728 MGK458728 MQG458728 NAC458728 NJY458728 NTU458728 ODQ458728 ONM458728 OXI458728 PHE458728 PRA458728 QAW458728 QKS458728 QUO458728 REK458728 ROG458728 RYC458728 SHY458728 SRU458728 TBQ458728 TLM458728 TVI458728 UFE458728 UPA458728 UYW458728 VIS458728 VSO458728 WCK458728 WMG458728 WWC458728 JQ524264 TM524264 ADI524264 ANE524264 AXA524264 BGW524264 BQS524264 CAO524264 CKK524264 CUG524264 DEC524264 DNY524264 DXU524264 EHQ524264 ERM524264 FBI524264 FLE524264 FVA524264 GEW524264 GOS524264 GYO524264 HIK524264 HSG524264 ICC524264 ILY524264 IVU524264 JFQ524264 JPM524264 JZI524264 KJE524264 KTA524264 LCW524264 LMS524264 LWO524264 MGK524264 MQG524264 NAC524264 NJY524264 NTU524264 ODQ524264 ONM524264 OXI524264 PHE524264 PRA524264 QAW524264 QKS524264 QUO524264 REK524264 ROG524264 RYC524264 SHY524264 SRU524264 TBQ524264 TLM524264 TVI524264 UFE524264 UPA524264 UYW524264 VIS524264 VSO524264 WCK524264 WMG524264 WWC524264 JQ589800 TM589800 ADI589800 ANE589800 AXA589800 BGW589800 BQS589800 CAO589800 CKK589800 CUG589800 DEC589800 DNY589800 DXU589800 EHQ589800 ERM589800 FBI589800 FLE589800 FVA589800 GEW589800 GOS589800 GYO589800 HIK589800 HSG589800 ICC589800 ILY589800 IVU589800 JFQ589800 JPM589800 JZI589800 KJE589800 KTA589800 LCW589800 LMS589800 LWO589800 MGK589800 MQG589800 NAC589800 NJY589800 NTU589800 ODQ589800 ONM589800 OXI589800 PHE589800 PRA589800 QAW589800 QKS589800 QUO589800 REK589800 ROG589800 RYC589800 SHY589800 SRU589800 TBQ589800 TLM589800 TVI589800 UFE589800 UPA589800 UYW589800 VIS589800 VSO589800 WCK589800 WMG589800 WWC589800 JQ655336 TM655336 ADI655336 ANE655336 AXA655336 BGW655336 BQS655336 CAO655336 CKK655336 CUG655336 DEC655336 DNY655336 DXU655336 EHQ655336 ERM655336 FBI655336 FLE655336 FVA655336 GEW655336 GOS655336 GYO655336 HIK655336 HSG655336 ICC655336 ILY655336 IVU655336 JFQ655336 JPM655336 JZI655336 KJE655336 KTA655336 LCW655336 LMS655336 LWO655336 MGK655336 MQG655336 NAC655336 NJY655336 NTU655336 ODQ655336 ONM655336 OXI655336 PHE655336 PRA655336 QAW655336 QKS655336 QUO655336 REK655336 ROG655336 RYC655336 SHY655336 SRU655336 TBQ655336 TLM655336 TVI655336 UFE655336 UPA655336 UYW655336 VIS655336 VSO655336 WCK655336 WMG655336 WWC655336 JQ720872 TM720872 ADI720872 ANE720872 AXA720872 BGW720872 BQS720872 CAO720872 CKK720872 CUG720872 DEC720872 DNY720872 DXU720872 EHQ720872 ERM720872 FBI720872 FLE720872 FVA720872 GEW720872 GOS720872 GYO720872 HIK720872 HSG720872 ICC720872 ILY720872 IVU720872 JFQ720872 JPM720872 JZI720872 KJE720872 KTA720872 LCW720872 LMS720872 LWO720872 MGK720872 MQG720872 NAC720872 NJY720872 NTU720872 ODQ720872 ONM720872 OXI720872 PHE720872 PRA720872 QAW720872 QKS720872 QUO720872 REK720872 ROG720872 RYC720872 SHY720872 SRU720872 TBQ720872 TLM720872 TVI720872 UFE720872 UPA720872 UYW720872 VIS720872 VSO720872 WCK720872 WMG720872 WWC720872 JQ786408 TM786408 ADI786408 ANE786408 AXA786408 BGW786408 BQS786408 CAO786408 CKK786408 CUG786408 DEC786408 DNY786408 DXU786408 EHQ786408 ERM786408 FBI786408 FLE786408 FVA786408 GEW786408 GOS786408 GYO786408 HIK786408 HSG786408 ICC786408 ILY786408 IVU786408 JFQ786408 JPM786408 JZI786408 KJE786408 KTA786408 LCW786408 LMS786408 LWO786408 MGK786408 MQG786408 NAC786408 NJY786408 NTU786408 ODQ786408 ONM786408 OXI786408 PHE786408 PRA786408 QAW786408 QKS786408 QUO786408 REK786408 ROG786408 RYC786408 SHY786408 SRU786408 TBQ786408 TLM786408 TVI786408 UFE786408 UPA786408 UYW786408 VIS786408 VSO786408 WCK786408 WMG786408 WWC786408 JQ851944 TM851944 ADI851944 ANE851944 AXA851944 BGW851944 BQS851944 CAO851944 CKK851944 CUG851944 DEC851944 DNY851944 DXU851944 EHQ851944 ERM851944 FBI851944 FLE851944 FVA851944 GEW851944 GOS851944 GYO851944 HIK851944 HSG851944 ICC851944 ILY851944 IVU851944 JFQ851944 JPM851944 JZI851944 KJE851944 KTA851944 LCW851944 LMS851944 LWO851944 MGK851944 MQG851944 NAC851944 NJY851944 NTU851944 ODQ851944 ONM851944 OXI851944 PHE851944 PRA851944 QAW851944 QKS851944 QUO851944 REK851944 ROG851944 RYC851944 SHY851944 SRU851944 TBQ851944 TLM851944 TVI851944 UFE851944 UPA851944 UYW851944 VIS851944 VSO851944 WCK851944 WMG851944 WWC851944 JQ917480 TM917480 ADI917480 ANE917480 AXA917480 BGW917480 BQS917480 CAO917480 CKK917480 CUG917480 DEC917480 DNY917480 DXU917480 EHQ917480 ERM917480 FBI917480 FLE917480 FVA917480 GEW917480 GOS917480 GYO917480 HIK917480 HSG917480 ICC917480 ILY917480 IVU917480 JFQ917480 JPM917480 JZI917480 KJE917480 KTA917480 LCW917480 LMS917480 LWO917480 MGK917480 MQG917480 NAC917480 NJY917480 NTU917480 ODQ917480 ONM917480 OXI917480 PHE917480 PRA917480 QAW917480 QKS917480 QUO917480 REK917480 ROG917480 RYC917480 SHY917480 SRU917480 TBQ917480 TLM917480 TVI917480 UFE917480 UPA917480 UYW917480 VIS917480 VSO917480 WCK917480 WMG917480 WWC917480 JQ983016 TM983016 ADI983016 ANE983016 AXA983016 BGW983016 BQS983016 CAO983016 CKK983016 CUG983016 DEC983016 DNY983016 DXU983016 EHQ983016 ERM983016 FBI983016 FLE983016 FVA983016 GEW983016 GOS983016 GYO983016 HIK983016 HSG983016 ICC983016 ILY983016 IVU983016 JFQ983016 JPM983016 JZI983016 KJE983016 KTA983016 LCW983016 LMS983016 LWO983016 MGK983016 MQG983016 NAC983016 NJY983016 NTU983016 ODQ983016 ONM983016 OXI983016 PHE983016 PRA983016 QAW983016 QKS983016 QUO983016 REK983016 ROG983016 RYC983016 SHY983016 SRU983016 TBQ983016 TLM983016 TVI983016 UFE983016 UPA983016 UYW983016 VIS983016 VSO983016 WCK983016 WMG983016 WWC983016"/>
    <dataValidation allowBlank="1" showInputMessage="1" showErrorMessage="1" prompt="-6.294484" sqref="JS65512 TO65512 ADK65512 ANG65512 AXC65512 BGY65512 BQU65512 CAQ65512 CKM65512 CUI65512 DEE65512 DOA65512 DXW65512 EHS65512 ERO65512 FBK65512 FLG65512 FVC65512 GEY65512 GOU65512 GYQ65512 HIM65512 HSI65512 ICE65512 IMA65512 IVW65512 JFS65512 JPO65512 JZK65512 KJG65512 KTC65512 LCY65512 LMU65512 LWQ65512 MGM65512 MQI65512 NAE65512 NKA65512 NTW65512 ODS65512 ONO65512 OXK65512 PHG65512 PRC65512 QAY65512 QKU65512 QUQ65512 REM65512 ROI65512 RYE65512 SIA65512 SRW65512 TBS65512 TLO65512 TVK65512 UFG65512 UPC65512 UYY65512 VIU65512 VSQ65512 WCM65512 WMI65512 WWE65512 JS131048 TO131048 ADK131048 ANG131048 AXC131048 BGY131048 BQU131048 CAQ131048 CKM131048 CUI131048 DEE131048 DOA131048 DXW131048 EHS131048 ERO131048 FBK131048 FLG131048 FVC131048 GEY131048 GOU131048 GYQ131048 HIM131048 HSI131048 ICE131048 IMA131048 IVW131048 JFS131048 JPO131048 JZK131048 KJG131048 KTC131048 LCY131048 LMU131048 LWQ131048 MGM131048 MQI131048 NAE131048 NKA131048 NTW131048 ODS131048 ONO131048 OXK131048 PHG131048 PRC131048 QAY131048 QKU131048 QUQ131048 REM131048 ROI131048 RYE131048 SIA131048 SRW131048 TBS131048 TLO131048 TVK131048 UFG131048 UPC131048 UYY131048 VIU131048 VSQ131048 WCM131048 WMI131048 WWE131048 JS196584 TO196584 ADK196584 ANG196584 AXC196584 BGY196584 BQU196584 CAQ196584 CKM196584 CUI196584 DEE196584 DOA196584 DXW196584 EHS196584 ERO196584 FBK196584 FLG196584 FVC196584 GEY196584 GOU196584 GYQ196584 HIM196584 HSI196584 ICE196584 IMA196584 IVW196584 JFS196584 JPO196584 JZK196584 KJG196584 KTC196584 LCY196584 LMU196584 LWQ196584 MGM196584 MQI196584 NAE196584 NKA196584 NTW196584 ODS196584 ONO196584 OXK196584 PHG196584 PRC196584 QAY196584 QKU196584 QUQ196584 REM196584 ROI196584 RYE196584 SIA196584 SRW196584 TBS196584 TLO196584 TVK196584 UFG196584 UPC196584 UYY196584 VIU196584 VSQ196584 WCM196584 WMI196584 WWE196584 JS262120 TO262120 ADK262120 ANG262120 AXC262120 BGY262120 BQU262120 CAQ262120 CKM262120 CUI262120 DEE262120 DOA262120 DXW262120 EHS262120 ERO262120 FBK262120 FLG262120 FVC262120 GEY262120 GOU262120 GYQ262120 HIM262120 HSI262120 ICE262120 IMA262120 IVW262120 JFS262120 JPO262120 JZK262120 KJG262120 KTC262120 LCY262120 LMU262120 LWQ262120 MGM262120 MQI262120 NAE262120 NKA262120 NTW262120 ODS262120 ONO262120 OXK262120 PHG262120 PRC262120 QAY262120 QKU262120 QUQ262120 REM262120 ROI262120 RYE262120 SIA262120 SRW262120 TBS262120 TLO262120 TVK262120 UFG262120 UPC262120 UYY262120 VIU262120 VSQ262120 WCM262120 WMI262120 WWE262120 JS327656 TO327656 ADK327656 ANG327656 AXC327656 BGY327656 BQU327656 CAQ327656 CKM327656 CUI327656 DEE327656 DOA327656 DXW327656 EHS327656 ERO327656 FBK327656 FLG327656 FVC327656 GEY327656 GOU327656 GYQ327656 HIM327656 HSI327656 ICE327656 IMA327656 IVW327656 JFS327656 JPO327656 JZK327656 KJG327656 KTC327656 LCY327656 LMU327656 LWQ327656 MGM327656 MQI327656 NAE327656 NKA327656 NTW327656 ODS327656 ONO327656 OXK327656 PHG327656 PRC327656 QAY327656 QKU327656 QUQ327656 REM327656 ROI327656 RYE327656 SIA327656 SRW327656 TBS327656 TLO327656 TVK327656 UFG327656 UPC327656 UYY327656 VIU327656 VSQ327656 WCM327656 WMI327656 WWE327656 JS393192 TO393192 ADK393192 ANG393192 AXC393192 BGY393192 BQU393192 CAQ393192 CKM393192 CUI393192 DEE393192 DOA393192 DXW393192 EHS393192 ERO393192 FBK393192 FLG393192 FVC393192 GEY393192 GOU393192 GYQ393192 HIM393192 HSI393192 ICE393192 IMA393192 IVW393192 JFS393192 JPO393192 JZK393192 KJG393192 KTC393192 LCY393192 LMU393192 LWQ393192 MGM393192 MQI393192 NAE393192 NKA393192 NTW393192 ODS393192 ONO393192 OXK393192 PHG393192 PRC393192 QAY393192 QKU393192 QUQ393192 REM393192 ROI393192 RYE393192 SIA393192 SRW393192 TBS393192 TLO393192 TVK393192 UFG393192 UPC393192 UYY393192 VIU393192 VSQ393192 WCM393192 WMI393192 WWE393192 JS458728 TO458728 ADK458728 ANG458728 AXC458728 BGY458728 BQU458728 CAQ458728 CKM458728 CUI458728 DEE458728 DOA458728 DXW458728 EHS458728 ERO458728 FBK458728 FLG458728 FVC458728 GEY458728 GOU458728 GYQ458728 HIM458728 HSI458728 ICE458728 IMA458728 IVW458728 JFS458728 JPO458728 JZK458728 KJG458728 KTC458728 LCY458728 LMU458728 LWQ458728 MGM458728 MQI458728 NAE458728 NKA458728 NTW458728 ODS458728 ONO458728 OXK458728 PHG458728 PRC458728 QAY458728 QKU458728 QUQ458728 REM458728 ROI458728 RYE458728 SIA458728 SRW458728 TBS458728 TLO458728 TVK458728 UFG458728 UPC458728 UYY458728 VIU458728 VSQ458728 WCM458728 WMI458728 WWE458728 JS524264 TO524264 ADK524264 ANG524264 AXC524264 BGY524264 BQU524264 CAQ524264 CKM524264 CUI524264 DEE524264 DOA524264 DXW524264 EHS524264 ERO524264 FBK524264 FLG524264 FVC524264 GEY524264 GOU524264 GYQ524264 HIM524264 HSI524264 ICE524264 IMA524264 IVW524264 JFS524264 JPO524264 JZK524264 KJG524264 KTC524264 LCY524264 LMU524264 LWQ524264 MGM524264 MQI524264 NAE524264 NKA524264 NTW524264 ODS524264 ONO524264 OXK524264 PHG524264 PRC524264 QAY524264 QKU524264 QUQ524264 REM524264 ROI524264 RYE524264 SIA524264 SRW524264 TBS524264 TLO524264 TVK524264 UFG524264 UPC524264 UYY524264 VIU524264 VSQ524264 WCM524264 WMI524264 WWE524264 JS589800 TO589800 ADK589800 ANG589800 AXC589800 BGY589800 BQU589800 CAQ589800 CKM589800 CUI589800 DEE589800 DOA589800 DXW589800 EHS589800 ERO589800 FBK589800 FLG589800 FVC589800 GEY589800 GOU589800 GYQ589800 HIM589800 HSI589800 ICE589800 IMA589800 IVW589800 JFS589800 JPO589800 JZK589800 KJG589800 KTC589800 LCY589800 LMU589800 LWQ589800 MGM589800 MQI589800 NAE589800 NKA589800 NTW589800 ODS589800 ONO589800 OXK589800 PHG589800 PRC589800 QAY589800 QKU589800 QUQ589800 REM589800 ROI589800 RYE589800 SIA589800 SRW589800 TBS589800 TLO589800 TVK589800 UFG589800 UPC589800 UYY589800 VIU589800 VSQ589800 WCM589800 WMI589800 WWE589800 JS655336 TO655336 ADK655336 ANG655336 AXC655336 BGY655336 BQU655336 CAQ655336 CKM655336 CUI655336 DEE655336 DOA655336 DXW655336 EHS655336 ERO655336 FBK655336 FLG655336 FVC655336 GEY655336 GOU655336 GYQ655336 HIM655336 HSI655336 ICE655336 IMA655336 IVW655336 JFS655336 JPO655336 JZK655336 KJG655336 KTC655336 LCY655336 LMU655336 LWQ655336 MGM655336 MQI655336 NAE655336 NKA655336 NTW655336 ODS655336 ONO655336 OXK655336 PHG655336 PRC655336 QAY655336 QKU655336 QUQ655336 REM655336 ROI655336 RYE655336 SIA655336 SRW655336 TBS655336 TLO655336 TVK655336 UFG655336 UPC655336 UYY655336 VIU655336 VSQ655336 WCM655336 WMI655336 WWE655336 JS720872 TO720872 ADK720872 ANG720872 AXC720872 BGY720872 BQU720872 CAQ720872 CKM720872 CUI720872 DEE720872 DOA720872 DXW720872 EHS720872 ERO720872 FBK720872 FLG720872 FVC720872 GEY720872 GOU720872 GYQ720872 HIM720872 HSI720872 ICE720872 IMA720872 IVW720872 JFS720872 JPO720872 JZK720872 KJG720872 KTC720872 LCY720872 LMU720872 LWQ720872 MGM720872 MQI720872 NAE720872 NKA720872 NTW720872 ODS720872 ONO720872 OXK720872 PHG720872 PRC720872 QAY720872 QKU720872 QUQ720872 REM720872 ROI720872 RYE720872 SIA720872 SRW720872 TBS720872 TLO720872 TVK720872 UFG720872 UPC720872 UYY720872 VIU720872 VSQ720872 WCM720872 WMI720872 WWE720872 JS786408 TO786408 ADK786408 ANG786408 AXC786408 BGY786408 BQU786408 CAQ786408 CKM786408 CUI786408 DEE786408 DOA786408 DXW786408 EHS786408 ERO786408 FBK786408 FLG786408 FVC786408 GEY786408 GOU786408 GYQ786408 HIM786408 HSI786408 ICE786408 IMA786408 IVW786408 JFS786408 JPO786408 JZK786408 KJG786408 KTC786408 LCY786408 LMU786408 LWQ786408 MGM786408 MQI786408 NAE786408 NKA786408 NTW786408 ODS786408 ONO786408 OXK786408 PHG786408 PRC786408 QAY786408 QKU786408 QUQ786408 REM786408 ROI786408 RYE786408 SIA786408 SRW786408 TBS786408 TLO786408 TVK786408 UFG786408 UPC786408 UYY786408 VIU786408 VSQ786408 WCM786408 WMI786408 WWE786408 JS851944 TO851944 ADK851944 ANG851944 AXC851944 BGY851944 BQU851944 CAQ851944 CKM851944 CUI851944 DEE851944 DOA851944 DXW851944 EHS851944 ERO851944 FBK851944 FLG851944 FVC851944 GEY851944 GOU851944 GYQ851944 HIM851944 HSI851944 ICE851944 IMA851944 IVW851944 JFS851944 JPO851944 JZK851944 KJG851944 KTC851944 LCY851944 LMU851944 LWQ851944 MGM851944 MQI851944 NAE851944 NKA851944 NTW851944 ODS851944 ONO851944 OXK851944 PHG851944 PRC851944 QAY851944 QKU851944 QUQ851944 REM851944 ROI851944 RYE851944 SIA851944 SRW851944 TBS851944 TLO851944 TVK851944 UFG851944 UPC851944 UYY851944 VIU851944 VSQ851944 WCM851944 WMI851944 WWE851944 JS917480 TO917480 ADK917480 ANG917480 AXC917480 BGY917480 BQU917480 CAQ917480 CKM917480 CUI917480 DEE917480 DOA917480 DXW917480 EHS917480 ERO917480 FBK917480 FLG917480 FVC917480 GEY917480 GOU917480 GYQ917480 HIM917480 HSI917480 ICE917480 IMA917480 IVW917480 JFS917480 JPO917480 JZK917480 KJG917480 KTC917480 LCY917480 LMU917480 LWQ917480 MGM917480 MQI917480 NAE917480 NKA917480 NTW917480 ODS917480 ONO917480 OXK917480 PHG917480 PRC917480 QAY917480 QKU917480 QUQ917480 REM917480 ROI917480 RYE917480 SIA917480 SRW917480 TBS917480 TLO917480 TVK917480 UFG917480 UPC917480 UYY917480 VIU917480 VSQ917480 WCM917480 WMI917480 WWE917480 JS983016 TO983016 ADK983016 ANG983016 AXC983016 BGY983016 BQU983016 CAQ983016 CKM983016 CUI983016 DEE983016 DOA983016 DXW983016 EHS983016 ERO983016 FBK983016 FLG983016 FVC983016 GEY983016 GOU983016 GYQ983016 HIM983016 HSI983016 ICE983016 IMA983016 IVW983016 JFS983016 JPO983016 JZK983016 KJG983016 KTC983016 LCY983016 LMU983016 LWQ983016 MGM983016 MQI983016 NAE983016 NKA983016 NTW983016 ODS983016 ONO983016 OXK983016 PHG983016 PRC983016 QAY983016 QKU983016 QUQ983016 REM983016 ROI983016 RYE983016 SIA983016 SRW983016 TBS983016 TLO983016 TVK983016 UFG983016 UPC983016 UYY983016 VIU983016 VSQ983016 WCM983016 WMI983016 WWE983016"/>
    <dataValidation allowBlank="1" showInputMessage="1" showErrorMessage="1" prompt="53° 20' 52.4436''" sqref="JQ65516 TM65516 ADI65516 ANE65516 AXA65516 BGW65516 BQS65516 CAO65516 CKK65516 CUG65516 DEC65516 DNY65516 DXU65516 EHQ65516 ERM65516 FBI65516 FLE65516 FVA65516 GEW65516 GOS65516 GYO65516 HIK65516 HSG65516 ICC65516 ILY65516 IVU65516 JFQ65516 JPM65516 JZI65516 KJE65516 KTA65516 LCW65516 LMS65516 LWO65516 MGK65516 MQG65516 NAC65516 NJY65516 NTU65516 ODQ65516 ONM65516 OXI65516 PHE65516 PRA65516 QAW65516 QKS65516 QUO65516 REK65516 ROG65516 RYC65516 SHY65516 SRU65516 TBQ65516 TLM65516 TVI65516 UFE65516 UPA65516 UYW65516 VIS65516 VSO65516 WCK65516 WMG65516 WWC65516 JQ131052 TM131052 ADI131052 ANE131052 AXA131052 BGW131052 BQS131052 CAO131052 CKK131052 CUG131052 DEC131052 DNY131052 DXU131052 EHQ131052 ERM131052 FBI131052 FLE131052 FVA131052 GEW131052 GOS131052 GYO131052 HIK131052 HSG131052 ICC131052 ILY131052 IVU131052 JFQ131052 JPM131052 JZI131052 KJE131052 KTA131052 LCW131052 LMS131052 LWO131052 MGK131052 MQG131052 NAC131052 NJY131052 NTU131052 ODQ131052 ONM131052 OXI131052 PHE131052 PRA131052 QAW131052 QKS131052 QUO131052 REK131052 ROG131052 RYC131052 SHY131052 SRU131052 TBQ131052 TLM131052 TVI131052 UFE131052 UPA131052 UYW131052 VIS131052 VSO131052 WCK131052 WMG131052 WWC131052 JQ196588 TM196588 ADI196588 ANE196588 AXA196588 BGW196588 BQS196588 CAO196588 CKK196588 CUG196588 DEC196588 DNY196588 DXU196588 EHQ196588 ERM196588 FBI196588 FLE196588 FVA196588 GEW196588 GOS196588 GYO196588 HIK196588 HSG196588 ICC196588 ILY196588 IVU196588 JFQ196588 JPM196588 JZI196588 KJE196588 KTA196588 LCW196588 LMS196588 LWO196588 MGK196588 MQG196588 NAC196588 NJY196588 NTU196588 ODQ196588 ONM196588 OXI196588 PHE196588 PRA196588 QAW196588 QKS196588 QUO196588 REK196588 ROG196588 RYC196588 SHY196588 SRU196588 TBQ196588 TLM196588 TVI196588 UFE196588 UPA196588 UYW196588 VIS196588 VSO196588 WCK196588 WMG196588 WWC196588 JQ262124 TM262124 ADI262124 ANE262124 AXA262124 BGW262124 BQS262124 CAO262124 CKK262124 CUG262124 DEC262124 DNY262124 DXU262124 EHQ262124 ERM262124 FBI262124 FLE262124 FVA262124 GEW262124 GOS262124 GYO262124 HIK262124 HSG262124 ICC262124 ILY262124 IVU262124 JFQ262124 JPM262124 JZI262124 KJE262124 KTA262124 LCW262124 LMS262124 LWO262124 MGK262124 MQG262124 NAC262124 NJY262124 NTU262124 ODQ262124 ONM262124 OXI262124 PHE262124 PRA262124 QAW262124 QKS262124 QUO262124 REK262124 ROG262124 RYC262124 SHY262124 SRU262124 TBQ262124 TLM262124 TVI262124 UFE262124 UPA262124 UYW262124 VIS262124 VSO262124 WCK262124 WMG262124 WWC262124 JQ327660 TM327660 ADI327660 ANE327660 AXA327660 BGW327660 BQS327660 CAO327660 CKK327660 CUG327660 DEC327660 DNY327660 DXU327660 EHQ327660 ERM327660 FBI327660 FLE327660 FVA327660 GEW327660 GOS327660 GYO327660 HIK327660 HSG327660 ICC327660 ILY327660 IVU327660 JFQ327660 JPM327660 JZI327660 KJE327660 KTA327660 LCW327660 LMS327660 LWO327660 MGK327660 MQG327660 NAC327660 NJY327660 NTU327660 ODQ327660 ONM327660 OXI327660 PHE327660 PRA327660 QAW327660 QKS327660 QUO327660 REK327660 ROG327660 RYC327660 SHY327660 SRU327660 TBQ327660 TLM327660 TVI327660 UFE327660 UPA327660 UYW327660 VIS327660 VSO327660 WCK327660 WMG327660 WWC327660 JQ393196 TM393196 ADI393196 ANE393196 AXA393196 BGW393196 BQS393196 CAO393196 CKK393196 CUG393196 DEC393196 DNY393196 DXU393196 EHQ393196 ERM393196 FBI393196 FLE393196 FVA393196 GEW393196 GOS393196 GYO393196 HIK393196 HSG393196 ICC393196 ILY393196 IVU393196 JFQ393196 JPM393196 JZI393196 KJE393196 KTA393196 LCW393196 LMS393196 LWO393196 MGK393196 MQG393196 NAC393196 NJY393196 NTU393196 ODQ393196 ONM393196 OXI393196 PHE393196 PRA393196 QAW393196 QKS393196 QUO393196 REK393196 ROG393196 RYC393196 SHY393196 SRU393196 TBQ393196 TLM393196 TVI393196 UFE393196 UPA393196 UYW393196 VIS393196 VSO393196 WCK393196 WMG393196 WWC393196 JQ458732 TM458732 ADI458732 ANE458732 AXA458732 BGW458732 BQS458732 CAO458732 CKK458732 CUG458732 DEC458732 DNY458732 DXU458732 EHQ458732 ERM458732 FBI458732 FLE458732 FVA458732 GEW458732 GOS458732 GYO458732 HIK458732 HSG458732 ICC458732 ILY458732 IVU458732 JFQ458732 JPM458732 JZI458732 KJE458732 KTA458732 LCW458732 LMS458732 LWO458732 MGK458732 MQG458732 NAC458732 NJY458732 NTU458732 ODQ458732 ONM458732 OXI458732 PHE458732 PRA458732 QAW458732 QKS458732 QUO458732 REK458732 ROG458732 RYC458732 SHY458732 SRU458732 TBQ458732 TLM458732 TVI458732 UFE458732 UPA458732 UYW458732 VIS458732 VSO458732 WCK458732 WMG458732 WWC458732 JQ524268 TM524268 ADI524268 ANE524268 AXA524268 BGW524268 BQS524268 CAO524268 CKK524268 CUG524268 DEC524268 DNY524268 DXU524268 EHQ524268 ERM524268 FBI524268 FLE524268 FVA524268 GEW524268 GOS524268 GYO524268 HIK524268 HSG524268 ICC524268 ILY524268 IVU524268 JFQ524268 JPM524268 JZI524268 KJE524268 KTA524268 LCW524268 LMS524268 LWO524268 MGK524268 MQG524268 NAC524268 NJY524268 NTU524268 ODQ524268 ONM524268 OXI524268 PHE524268 PRA524268 QAW524268 QKS524268 QUO524268 REK524268 ROG524268 RYC524268 SHY524268 SRU524268 TBQ524268 TLM524268 TVI524268 UFE524268 UPA524268 UYW524268 VIS524268 VSO524268 WCK524268 WMG524268 WWC524268 JQ589804 TM589804 ADI589804 ANE589804 AXA589804 BGW589804 BQS589804 CAO589804 CKK589804 CUG589804 DEC589804 DNY589804 DXU589804 EHQ589804 ERM589804 FBI589804 FLE589804 FVA589804 GEW589804 GOS589804 GYO589804 HIK589804 HSG589804 ICC589804 ILY589804 IVU589804 JFQ589804 JPM589804 JZI589804 KJE589804 KTA589804 LCW589804 LMS589804 LWO589804 MGK589804 MQG589804 NAC589804 NJY589804 NTU589804 ODQ589804 ONM589804 OXI589804 PHE589804 PRA589804 QAW589804 QKS589804 QUO589804 REK589804 ROG589804 RYC589804 SHY589804 SRU589804 TBQ589804 TLM589804 TVI589804 UFE589804 UPA589804 UYW589804 VIS589804 VSO589804 WCK589804 WMG589804 WWC589804 JQ655340 TM655340 ADI655340 ANE655340 AXA655340 BGW655340 BQS655340 CAO655340 CKK655340 CUG655340 DEC655340 DNY655340 DXU655340 EHQ655340 ERM655340 FBI655340 FLE655340 FVA655340 GEW655340 GOS655340 GYO655340 HIK655340 HSG655340 ICC655340 ILY655340 IVU655340 JFQ655340 JPM655340 JZI655340 KJE655340 KTA655340 LCW655340 LMS655340 LWO655340 MGK655340 MQG655340 NAC655340 NJY655340 NTU655340 ODQ655340 ONM655340 OXI655340 PHE655340 PRA655340 QAW655340 QKS655340 QUO655340 REK655340 ROG655340 RYC655340 SHY655340 SRU655340 TBQ655340 TLM655340 TVI655340 UFE655340 UPA655340 UYW655340 VIS655340 VSO655340 WCK655340 WMG655340 WWC655340 JQ720876 TM720876 ADI720876 ANE720876 AXA720876 BGW720876 BQS720876 CAO720876 CKK720876 CUG720876 DEC720876 DNY720876 DXU720876 EHQ720876 ERM720876 FBI720876 FLE720876 FVA720876 GEW720876 GOS720876 GYO720876 HIK720876 HSG720876 ICC720876 ILY720876 IVU720876 JFQ720876 JPM720876 JZI720876 KJE720876 KTA720876 LCW720876 LMS720876 LWO720876 MGK720876 MQG720876 NAC720876 NJY720876 NTU720876 ODQ720876 ONM720876 OXI720876 PHE720876 PRA720876 QAW720876 QKS720876 QUO720876 REK720876 ROG720876 RYC720876 SHY720876 SRU720876 TBQ720876 TLM720876 TVI720876 UFE720876 UPA720876 UYW720876 VIS720876 VSO720876 WCK720876 WMG720876 WWC720876 JQ786412 TM786412 ADI786412 ANE786412 AXA786412 BGW786412 BQS786412 CAO786412 CKK786412 CUG786412 DEC786412 DNY786412 DXU786412 EHQ786412 ERM786412 FBI786412 FLE786412 FVA786412 GEW786412 GOS786412 GYO786412 HIK786412 HSG786412 ICC786412 ILY786412 IVU786412 JFQ786412 JPM786412 JZI786412 KJE786412 KTA786412 LCW786412 LMS786412 LWO786412 MGK786412 MQG786412 NAC786412 NJY786412 NTU786412 ODQ786412 ONM786412 OXI786412 PHE786412 PRA786412 QAW786412 QKS786412 QUO786412 REK786412 ROG786412 RYC786412 SHY786412 SRU786412 TBQ786412 TLM786412 TVI786412 UFE786412 UPA786412 UYW786412 VIS786412 VSO786412 WCK786412 WMG786412 WWC786412 JQ851948 TM851948 ADI851948 ANE851948 AXA851948 BGW851948 BQS851948 CAO851948 CKK851948 CUG851948 DEC851948 DNY851948 DXU851948 EHQ851948 ERM851948 FBI851948 FLE851948 FVA851948 GEW851948 GOS851948 GYO851948 HIK851948 HSG851948 ICC851948 ILY851948 IVU851948 JFQ851948 JPM851948 JZI851948 KJE851948 KTA851948 LCW851948 LMS851948 LWO851948 MGK851948 MQG851948 NAC851948 NJY851948 NTU851948 ODQ851948 ONM851948 OXI851948 PHE851948 PRA851948 QAW851948 QKS851948 QUO851948 REK851948 ROG851948 RYC851948 SHY851948 SRU851948 TBQ851948 TLM851948 TVI851948 UFE851948 UPA851948 UYW851948 VIS851948 VSO851948 WCK851948 WMG851948 WWC851948 JQ917484 TM917484 ADI917484 ANE917484 AXA917484 BGW917484 BQS917484 CAO917484 CKK917484 CUG917484 DEC917484 DNY917484 DXU917484 EHQ917484 ERM917484 FBI917484 FLE917484 FVA917484 GEW917484 GOS917484 GYO917484 HIK917484 HSG917484 ICC917484 ILY917484 IVU917484 JFQ917484 JPM917484 JZI917484 KJE917484 KTA917484 LCW917484 LMS917484 LWO917484 MGK917484 MQG917484 NAC917484 NJY917484 NTU917484 ODQ917484 ONM917484 OXI917484 PHE917484 PRA917484 QAW917484 QKS917484 QUO917484 REK917484 ROG917484 RYC917484 SHY917484 SRU917484 TBQ917484 TLM917484 TVI917484 UFE917484 UPA917484 UYW917484 VIS917484 VSO917484 WCK917484 WMG917484 WWC917484 JQ983020 TM983020 ADI983020 ANE983020 AXA983020 BGW983020 BQS983020 CAO983020 CKK983020 CUG983020 DEC983020 DNY983020 DXU983020 EHQ983020 ERM983020 FBI983020 FLE983020 FVA983020 GEW983020 GOS983020 GYO983020 HIK983020 HSG983020 ICC983020 ILY983020 IVU983020 JFQ983020 JPM983020 JZI983020 KJE983020 KTA983020 LCW983020 LMS983020 LWO983020 MGK983020 MQG983020 NAC983020 NJY983020 NTU983020 ODQ983020 ONM983020 OXI983020 PHE983020 PRA983020 QAW983020 QKS983020 QUO983020 REK983020 ROG983020 RYC983020 SHY983020 SRU983020 TBQ983020 TLM983020 TVI983020 UFE983020 UPA983020 UYW983020 VIS983020 VSO983020 WCK983020 WMG983020 WWC983020"/>
    <dataValidation allowBlank="1" showInputMessage="1" showErrorMessage="1" prompt="6° 17' 40.1424''" sqref="JS65516 TO65516 ADK65516 ANG65516 AXC65516 BGY65516 BQU65516 CAQ65516 CKM65516 CUI65516 DEE65516 DOA65516 DXW65516 EHS65516 ERO65516 FBK65516 FLG65516 FVC65516 GEY65516 GOU65516 GYQ65516 HIM65516 HSI65516 ICE65516 IMA65516 IVW65516 JFS65516 JPO65516 JZK65516 KJG65516 KTC65516 LCY65516 LMU65516 LWQ65516 MGM65516 MQI65516 NAE65516 NKA65516 NTW65516 ODS65516 ONO65516 OXK65516 PHG65516 PRC65516 QAY65516 QKU65516 QUQ65516 REM65516 ROI65516 RYE65516 SIA65516 SRW65516 TBS65516 TLO65516 TVK65516 UFG65516 UPC65516 UYY65516 VIU65516 VSQ65516 WCM65516 WMI65516 WWE65516 JS131052 TO131052 ADK131052 ANG131052 AXC131052 BGY131052 BQU131052 CAQ131052 CKM131052 CUI131052 DEE131052 DOA131052 DXW131052 EHS131052 ERO131052 FBK131052 FLG131052 FVC131052 GEY131052 GOU131052 GYQ131052 HIM131052 HSI131052 ICE131052 IMA131052 IVW131052 JFS131052 JPO131052 JZK131052 KJG131052 KTC131052 LCY131052 LMU131052 LWQ131052 MGM131052 MQI131052 NAE131052 NKA131052 NTW131052 ODS131052 ONO131052 OXK131052 PHG131052 PRC131052 QAY131052 QKU131052 QUQ131052 REM131052 ROI131052 RYE131052 SIA131052 SRW131052 TBS131052 TLO131052 TVK131052 UFG131052 UPC131052 UYY131052 VIU131052 VSQ131052 WCM131052 WMI131052 WWE131052 JS196588 TO196588 ADK196588 ANG196588 AXC196588 BGY196588 BQU196588 CAQ196588 CKM196588 CUI196588 DEE196588 DOA196588 DXW196588 EHS196588 ERO196588 FBK196588 FLG196588 FVC196588 GEY196588 GOU196588 GYQ196588 HIM196588 HSI196588 ICE196588 IMA196588 IVW196588 JFS196588 JPO196588 JZK196588 KJG196588 KTC196588 LCY196588 LMU196588 LWQ196588 MGM196588 MQI196588 NAE196588 NKA196588 NTW196588 ODS196588 ONO196588 OXK196588 PHG196588 PRC196588 QAY196588 QKU196588 QUQ196588 REM196588 ROI196588 RYE196588 SIA196588 SRW196588 TBS196588 TLO196588 TVK196588 UFG196588 UPC196588 UYY196588 VIU196588 VSQ196588 WCM196588 WMI196588 WWE196588 JS262124 TO262124 ADK262124 ANG262124 AXC262124 BGY262124 BQU262124 CAQ262124 CKM262124 CUI262124 DEE262124 DOA262124 DXW262124 EHS262124 ERO262124 FBK262124 FLG262124 FVC262124 GEY262124 GOU262124 GYQ262124 HIM262124 HSI262124 ICE262124 IMA262124 IVW262124 JFS262124 JPO262124 JZK262124 KJG262124 KTC262124 LCY262124 LMU262124 LWQ262124 MGM262124 MQI262124 NAE262124 NKA262124 NTW262124 ODS262124 ONO262124 OXK262124 PHG262124 PRC262124 QAY262124 QKU262124 QUQ262124 REM262124 ROI262124 RYE262124 SIA262124 SRW262124 TBS262124 TLO262124 TVK262124 UFG262124 UPC262124 UYY262124 VIU262124 VSQ262124 WCM262124 WMI262124 WWE262124 JS327660 TO327660 ADK327660 ANG327660 AXC327660 BGY327660 BQU327660 CAQ327660 CKM327660 CUI327660 DEE327660 DOA327660 DXW327660 EHS327660 ERO327660 FBK327660 FLG327660 FVC327660 GEY327660 GOU327660 GYQ327660 HIM327660 HSI327660 ICE327660 IMA327660 IVW327660 JFS327660 JPO327660 JZK327660 KJG327660 KTC327660 LCY327660 LMU327660 LWQ327660 MGM327660 MQI327660 NAE327660 NKA327660 NTW327660 ODS327660 ONO327660 OXK327660 PHG327660 PRC327660 QAY327660 QKU327660 QUQ327660 REM327660 ROI327660 RYE327660 SIA327660 SRW327660 TBS327660 TLO327660 TVK327660 UFG327660 UPC327660 UYY327660 VIU327660 VSQ327660 WCM327660 WMI327660 WWE327660 JS393196 TO393196 ADK393196 ANG393196 AXC393196 BGY393196 BQU393196 CAQ393196 CKM393196 CUI393196 DEE393196 DOA393196 DXW393196 EHS393196 ERO393196 FBK393196 FLG393196 FVC393196 GEY393196 GOU393196 GYQ393196 HIM393196 HSI393196 ICE393196 IMA393196 IVW393196 JFS393196 JPO393196 JZK393196 KJG393196 KTC393196 LCY393196 LMU393196 LWQ393196 MGM393196 MQI393196 NAE393196 NKA393196 NTW393196 ODS393196 ONO393196 OXK393196 PHG393196 PRC393196 QAY393196 QKU393196 QUQ393196 REM393196 ROI393196 RYE393196 SIA393196 SRW393196 TBS393196 TLO393196 TVK393196 UFG393196 UPC393196 UYY393196 VIU393196 VSQ393196 WCM393196 WMI393196 WWE393196 JS458732 TO458732 ADK458732 ANG458732 AXC458732 BGY458732 BQU458732 CAQ458732 CKM458732 CUI458732 DEE458732 DOA458732 DXW458732 EHS458732 ERO458732 FBK458732 FLG458732 FVC458732 GEY458732 GOU458732 GYQ458732 HIM458732 HSI458732 ICE458732 IMA458732 IVW458732 JFS458732 JPO458732 JZK458732 KJG458732 KTC458732 LCY458732 LMU458732 LWQ458732 MGM458732 MQI458732 NAE458732 NKA458732 NTW458732 ODS458732 ONO458732 OXK458732 PHG458732 PRC458732 QAY458732 QKU458732 QUQ458732 REM458732 ROI458732 RYE458732 SIA458732 SRW458732 TBS458732 TLO458732 TVK458732 UFG458732 UPC458732 UYY458732 VIU458732 VSQ458732 WCM458732 WMI458732 WWE458732 JS524268 TO524268 ADK524268 ANG524268 AXC524268 BGY524268 BQU524268 CAQ524268 CKM524268 CUI524268 DEE524268 DOA524268 DXW524268 EHS524268 ERO524268 FBK524268 FLG524268 FVC524268 GEY524268 GOU524268 GYQ524268 HIM524268 HSI524268 ICE524268 IMA524268 IVW524268 JFS524268 JPO524268 JZK524268 KJG524268 KTC524268 LCY524268 LMU524268 LWQ524268 MGM524268 MQI524268 NAE524268 NKA524268 NTW524268 ODS524268 ONO524268 OXK524268 PHG524268 PRC524268 QAY524268 QKU524268 QUQ524268 REM524268 ROI524268 RYE524268 SIA524268 SRW524268 TBS524268 TLO524268 TVK524268 UFG524268 UPC524268 UYY524268 VIU524268 VSQ524268 WCM524268 WMI524268 WWE524268 JS589804 TO589804 ADK589804 ANG589804 AXC589804 BGY589804 BQU589804 CAQ589804 CKM589804 CUI589804 DEE589804 DOA589804 DXW589804 EHS589804 ERO589804 FBK589804 FLG589804 FVC589804 GEY589804 GOU589804 GYQ589804 HIM589804 HSI589804 ICE589804 IMA589804 IVW589804 JFS589804 JPO589804 JZK589804 KJG589804 KTC589804 LCY589804 LMU589804 LWQ589804 MGM589804 MQI589804 NAE589804 NKA589804 NTW589804 ODS589804 ONO589804 OXK589804 PHG589804 PRC589804 QAY589804 QKU589804 QUQ589804 REM589804 ROI589804 RYE589804 SIA589804 SRW589804 TBS589804 TLO589804 TVK589804 UFG589804 UPC589804 UYY589804 VIU589804 VSQ589804 WCM589804 WMI589804 WWE589804 JS655340 TO655340 ADK655340 ANG655340 AXC655340 BGY655340 BQU655340 CAQ655340 CKM655340 CUI655340 DEE655340 DOA655340 DXW655340 EHS655340 ERO655340 FBK655340 FLG655340 FVC655340 GEY655340 GOU655340 GYQ655340 HIM655340 HSI655340 ICE655340 IMA655340 IVW655340 JFS655340 JPO655340 JZK655340 KJG655340 KTC655340 LCY655340 LMU655340 LWQ655340 MGM655340 MQI655340 NAE655340 NKA655340 NTW655340 ODS655340 ONO655340 OXK655340 PHG655340 PRC655340 QAY655340 QKU655340 QUQ655340 REM655340 ROI655340 RYE655340 SIA655340 SRW655340 TBS655340 TLO655340 TVK655340 UFG655340 UPC655340 UYY655340 VIU655340 VSQ655340 WCM655340 WMI655340 WWE655340 JS720876 TO720876 ADK720876 ANG720876 AXC720876 BGY720876 BQU720876 CAQ720876 CKM720876 CUI720876 DEE720876 DOA720876 DXW720876 EHS720876 ERO720876 FBK720876 FLG720876 FVC720876 GEY720876 GOU720876 GYQ720876 HIM720876 HSI720876 ICE720876 IMA720876 IVW720876 JFS720876 JPO720876 JZK720876 KJG720876 KTC720876 LCY720876 LMU720876 LWQ720876 MGM720876 MQI720876 NAE720876 NKA720876 NTW720876 ODS720876 ONO720876 OXK720876 PHG720876 PRC720876 QAY720876 QKU720876 QUQ720876 REM720876 ROI720876 RYE720876 SIA720876 SRW720876 TBS720876 TLO720876 TVK720876 UFG720876 UPC720876 UYY720876 VIU720876 VSQ720876 WCM720876 WMI720876 WWE720876 JS786412 TO786412 ADK786412 ANG786412 AXC786412 BGY786412 BQU786412 CAQ786412 CKM786412 CUI786412 DEE786412 DOA786412 DXW786412 EHS786412 ERO786412 FBK786412 FLG786412 FVC786412 GEY786412 GOU786412 GYQ786412 HIM786412 HSI786412 ICE786412 IMA786412 IVW786412 JFS786412 JPO786412 JZK786412 KJG786412 KTC786412 LCY786412 LMU786412 LWQ786412 MGM786412 MQI786412 NAE786412 NKA786412 NTW786412 ODS786412 ONO786412 OXK786412 PHG786412 PRC786412 QAY786412 QKU786412 QUQ786412 REM786412 ROI786412 RYE786412 SIA786412 SRW786412 TBS786412 TLO786412 TVK786412 UFG786412 UPC786412 UYY786412 VIU786412 VSQ786412 WCM786412 WMI786412 WWE786412 JS851948 TO851948 ADK851948 ANG851948 AXC851948 BGY851948 BQU851948 CAQ851948 CKM851948 CUI851948 DEE851948 DOA851948 DXW851948 EHS851948 ERO851948 FBK851948 FLG851948 FVC851948 GEY851948 GOU851948 GYQ851948 HIM851948 HSI851948 ICE851948 IMA851948 IVW851948 JFS851948 JPO851948 JZK851948 KJG851948 KTC851948 LCY851948 LMU851948 LWQ851948 MGM851948 MQI851948 NAE851948 NKA851948 NTW851948 ODS851948 ONO851948 OXK851948 PHG851948 PRC851948 QAY851948 QKU851948 QUQ851948 REM851948 ROI851948 RYE851948 SIA851948 SRW851948 TBS851948 TLO851948 TVK851948 UFG851948 UPC851948 UYY851948 VIU851948 VSQ851948 WCM851948 WMI851948 WWE851948 JS917484 TO917484 ADK917484 ANG917484 AXC917484 BGY917484 BQU917484 CAQ917484 CKM917484 CUI917484 DEE917484 DOA917484 DXW917484 EHS917484 ERO917484 FBK917484 FLG917484 FVC917484 GEY917484 GOU917484 GYQ917484 HIM917484 HSI917484 ICE917484 IMA917484 IVW917484 JFS917484 JPO917484 JZK917484 KJG917484 KTC917484 LCY917484 LMU917484 LWQ917484 MGM917484 MQI917484 NAE917484 NKA917484 NTW917484 ODS917484 ONO917484 OXK917484 PHG917484 PRC917484 QAY917484 QKU917484 QUQ917484 REM917484 ROI917484 RYE917484 SIA917484 SRW917484 TBS917484 TLO917484 TVK917484 UFG917484 UPC917484 UYY917484 VIU917484 VSQ917484 WCM917484 WMI917484 WWE917484 JS983020 TO983020 ADK983020 ANG983020 AXC983020 BGY983020 BQU983020 CAQ983020 CKM983020 CUI983020 DEE983020 DOA983020 DXW983020 EHS983020 ERO983020 FBK983020 FLG983020 FVC983020 GEY983020 GOU983020 GYQ983020 HIM983020 HSI983020 ICE983020 IMA983020 IVW983020 JFS983020 JPO983020 JZK983020 KJG983020 KTC983020 LCY983020 LMU983020 LWQ983020 MGM983020 MQI983020 NAE983020 NKA983020 NTW983020 ODS983020 ONO983020 OXK983020 PHG983020 PRC983020 QAY983020 QKU983020 QUQ983020 REM983020 ROI983020 RYE983020 SIA983020 SRW983020 TBS983020 TLO983020 TVK983020 UFG983020 UPC983020 UYY983020 VIU983020 VSQ983020 WCM983020 WMI983020 WWE983020"/>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5"/>
  <sheetViews>
    <sheetView view="pageLayout" topLeftCell="A35" zoomScale="80" zoomScaleNormal="70" zoomScaleSheetLayoutView="70" zoomScalePageLayoutView="80" workbookViewId="0">
      <selection activeCell="B44" sqref="B44:I44"/>
    </sheetView>
  </sheetViews>
  <sheetFormatPr defaultRowHeight="15" customHeight="1" x14ac:dyDescent="0.3"/>
  <cols>
    <col min="1" max="1" width="2.6640625" style="2" customWidth="1"/>
    <col min="2" max="2" width="5.33203125" style="2" customWidth="1"/>
    <col min="3" max="3" width="11.44140625" style="2" bestFit="1" customWidth="1"/>
    <col min="4" max="15" width="7.44140625" style="2" customWidth="1"/>
    <col min="16" max="21" width="10.6640625" style="2" customWidth="1"/>
    <col min="22" max="23" width="7.6640625" style="2" customWidth="1"/>
    <col min="24" max="24" width="2.6640625" style="2" customWidth="1"/>
    <col min="25" max="254" width="7.6640625" style="2" customWidth="1"/>
    <col min="255" max="255" width="14.33203125" style="2" customWidth="1"/>
    <col min="256" max="256" width="4" style="2" customWidth="1"/>
    <col min="257" max="257" width="14.33203125" style="2" customWidth="1"/>
    <col min="258" max="258" width="4" style="2" customWidth="1"/>
    <col min="259" max="510" width="7.6640625" style="2" customWidth="1"/>
    <col min="511" max="511" width="14.33203125" style="2" customWidth="1"/>
    <col min="512" max="512" width="4" style="2" customWidth="1"/>
    <col min="513" max="513" width="14.33203125" style="2" customWidth="1"/>
    <col min="514" max="514" width="4" style="2" customWidth="1"/>
    <col min="515" max="766" width="7.6640625" style="2" customWidth="1"/>
    <col min="767" max="767" width="14.33203125" style="2" customWidth="1"/>
    <col min="768" max="768" width="4" style="2" customWidth="1"/>
    <col min="769" max="769" width="14.33203125" style="2" customWidth="1"/>
    <col min="770" max="770" width="4" style="2" customWidth="1"/>
    <col min="771" max="1022" width="7.6640625" style="2" customWidth="1"/>
    <col min="1023" max="1023" width="14.33203125" style="2" customWidth="1"/>
    <col min="1024" max="1024" width="4" style="2" customWidth="1"/>
    <col min="1025" max="1025" width="14.33203125" style="2" customWidth="1"/>
    <col min="1026" max="1026" width="4" style="2" customWidth="1"/>
    <col min="1027" max="1278" width="7.6640625" style="2" customWidth="1"/>
    <col min="1279" max="1279" width="14.33203125" style="2" customWidth="1"/>
    <col min="1280" max="1280" width="4" style="2" customWidth="1"/>
    <col min="1281" max="1281" width="14.33203125" style="2" customWidth="1"/>
    <col min="1282" max="1282" width="4" style="2" customWidth="1"/>
    <col min="1283" max="1534" width="7.6640625" style="2" customWidth="1"/>
    <col min="1535" max="1535" width="14.33203125" style="2" customWidth="1"/>
    <col min="1536" max="1536" width="4" style="2" customWidth="1"/>
    <col min="1537" max="1537" width="14.33203125" style="2" customWidth="1"/>
    <col min="1538" max="1538" width="4" style="2" customWidth="1"/>
    <col min="1539" max="1790" width="7.6640625" style="2" customWidth="1"/>
    <col min="1791" max="1791" width="14.33203125" style="2" customWidth="1"/>
    <col min="1792" max="1792" width="4" style="2" customWidth="1"/>
    <col min="1793" max="1793" width="14.33203125" style="2" customWidth="1"/>
    <col min="1794" max="1794" width="4" style="2" customWidth="1"/>
    <col min="1795" max="2046" width="7.6640625" style="2" customWidth="1"/>
    <col min="2047" max="2047" width="14.33203125" style="2" customWidth="1"/>
    <col min="2048" max="2048" width="4" style="2" customWidth="1"/>
    <col min="2049" max="2049" width="14.33203125" style="2" customWidth="1"/>
    <col min="2050" max="2050" width="4" style="2" customWidth="1"/>
    <col min="2051" max="2302" width="7.6640625" style="2" customWidth="1"/>
    <col min="2303" max="2303" width="14.33203125" style="2" customWidth="1"/>
    <col min="2304" max="2304" width="4" style="2" customWidth="1"/>
    <col min="2305" max="2305" width="14.33203125" style="2" customWidth="1"/>
    <col min="2306" max="2306" width="4" style="2" customWidth="1"/>
    <col min="2307" max="2558" width="7.6640625" style="2" customWidth="1"/>
    <col min="2559" max="2559" width="14.33203125" style="2" customWidth="1"/>
    <col min="2560" max="2560" width="4" style="2" customWidth="1"/>
    <col min="2561" max="2561" width="14.33203125" style="2" customWidth="1"/>
    <col min="2562" max="2562" width="4" style="2" customWidth="1"/>
    <col min="2563" max="2814" width="7.6640625" style="2" customWidth="1"/>
    <col min="2815" max="2815" width="14.33203125" style="2" customWidth="1"/>
    <col min="2816" max="2816" width="4" style="2" customWidth="1"/>
    <col min="2817" max="2817" width="14.33203125" style="2" customWidth="1"/>
    <col min="2818" max="2818" width="4" style="2" customWidth="1"/>
    <col min="2819" max="3070" width="7.6640625" style="2" customWidth="1"/>
    <col min="3071" max="3071" width="14.33203125" style="2" customWidth="1"/>
    <col min="3072" max="3072" width="4" style="2" customWidth="1"/>
    <col min="3073" max="3073" width="14.33203125" style="2" customWidth="1"/>
    <col min="3074" max="3074" width="4" style="2" customWidth="1"/>
    <col min="3075" max="3326" width="7.6640625" style="2" customWidth="1"/>
    <col min="3327" max="3327" width="14.33203125" style="2" customWidth="1"/>
    <col min="3328" max="3328" width="4" style="2" customWidth="1"/>
    <col min="3329" max="3329" width="14.33203125" style="2" customWidth="1"/>
    <col min="3330" max="3330" width="4" style="2" customWidth="1"/>
    <col min="3331" max="3582" width="7.6640625" style="2" customWidth="1"/>
    <col min="3583" max="3583" width="14.33203125" style="2" customWidth="1"/>
    <col min="3584" max="3584" width="4" style="2" customWidth="1"/>
    <col min="3585" max="3585" width="14.33203125" style="2" customWidth="1"/>
    <col min="3586" max="3586" width="4" style="2" customWidth="1"/>
    <col min="3587" max="3838" width="7.6640625" style="2" customWidth="1"/>
    <col min="3839" max="3839" width="14.33203125" style="2" customWidth="1"/>
    <col min="3840" max="3840" width="4" style="2" customWidth="1"/>
    <col min="3841" max="3841" width="14.33203125" style="2" customWidth="1"/>
    <col min="3842" max="3842" width="4" style="2" customWidth="1"/>
    <col min="3843" max="4094" width="7.6640625" style="2" customWidth="1"/>
    <col min="4095" max="4095" width="14.33203125" style="2" customWidth="1"/>
    <col min="4096" max="4096" width="4" style="2" customWidth="1"/>
    <col min="4097" max="4097" width="14.33203125" style="2" customWidth="1"/>
    <col min="4098" max="4098" width="4" style="2" customWidth="1"/>
    <col min="4099" max="4350" width="7.6640625" style="2" customWidth="1"/>
    <col min="4351" max="4351" width="14.33203125" style="2" customWidth="1"/>
    <col min="4352" max="4352" width="4" style="2" customWidth="1"/>
    <col min="4353" max="4353" width="14.33203125" style="2" customWidth="1"/>
    <col min="4354" max="4354" width="4" style="2" customWidth="1"/>
    <col min="4355" max="4606" width="7.6640625" style="2" customWidth="1"/>
    <col min="4607" max="4607" width="14.33203125" style="2" customWidth="1"/>
    <col min="4608" max="4608" width="4" style="2" customWidth="1"/>
    <col min="4609" max="4609" width="14.33203125" style="2" customWidth="1"/>
    <col min="4610" max="4610" width="4" style="2" customWidth="1"/>
    <col min="4611" max="4862" width="7.6640625" style="2" customWidth="1"/>
    <col min="4863" max="4863" width="14.33203125" style="2" customWidth="1"/>
    <col min="4864" max="4864" width="4" style="2" customWidth="1"/>
    <col min="4865" max="4865" width="14.33203125" style="2" customWidth="1"/>
    <col min="4866" max="4866" width="4" style="2" customWidth="1"/>
    <col min="4867" max="5118" width="7.6640625" style="2" customWidth="1"/>
    <col min="5119" max="5119" width="14.33203125" style="2" customWidth="1"/>
    <col min="5120" max="5120" width="4" style="2" customWidth="1"/>
    <col min="5121" max="5121" width="14.33203125" style="2" customWidth="1"/>
    <col min="5122" max="5122" width="4" style="2" customWidth="1"/>
    <col min="5123" max="5374" width="7.6640625" style="2" customWidth="1"/>
    <col min="5375" max="5375" width="14.33203125" style="2" customWidth="1"/>
    <col min="5376" max="5376" width="4" style="2" customWidth="1"/>
    <col min="5377" max="5377" width="14.33203125" style="2" customWidth="1"/>
    <col min="5378" max="5378" width="4" style="2" customWidth="1"/>
    <col min="5379" max="5630" width="7.6640625" style="2" customWidth="1"/>
    <col min="5631" max="5631" width="14.33203125" style="2" customWidth="1"/>
    <col min="5632" max="5632" width="4" style="2" customWidth="1"/>
    <col min="5633" max="5633" width="14.33203125" style="2" customWidth="1"/>
    <col min="5634" max="5634" width="4" style="2" customWidth="1"/>
    <col min="5635" max="5886" width="7.6640625" style="2" customWidth="1"/>
    <col min="5887" max="5887" width="14.33203125" style="2" customWidth="1"/>
    <col min="5888" max="5888" width="4" style="2" customWidth="1"/>
    <col min="5889" max="5889" width="14.33203125" style="2" customWidth="1"/>
    <col min="5890" max="5890" width="4" style="2" customWidth="1"/>
    <col min="5891" max="6142" width="7.6640625" style="2" customWidth="1"/>
    <col min="6143" max="6143" width="14.33203125" style="2" customWidth="1"/>
    <col min="6144" max="6144" width="4" style="2" customWidth="1"/>
    <col min="6145" max="6145" width="14.33203125" style="2" customWidth="1"/>
    <col min="6146" max="6146" width="4" style="2" customWidth="1"/>
    <col min="6147" max="6398" width="7.6640625" style="2" customWidth="1"/>
    <col min="6399" max="6399" width="14.33203125" style="2" customWidth="1"/>
    <col min="6400" max="6400" width="4" style="2" customWidth="1"/>
    <col min="6401" max="6401" width="14.33203125" style="2" customWidth="1"/>
    <col min="6402" max="6402" width="4" style="2" customWidth="1"/>
    <col min="6403" max="6654" width="7.6640625" style="2" customWidth="1"/>
    <col min="6655" max="6655" width="14.33203125" style="2" customWidth="1"/>
    <col min="6656" max="6656" width="4" style="2" customWidth="1"/>
    <col min="6657" max="6657" width="14.33203125" style="2" customWidth="1"/>
    <col min="6658" max="6658" width="4" style="2" customWidth="1"/>
    <col min="6659" max="6910" width="7.6640625" style="2" customWidth="1"/>
    <col min="6911" max="6911" width="14.33203125" style="2" customWidth="1"/>
    <col min="6912" max="6912" width="4" style="2" customWidth="1"/>
    <col min="6913" max="6913" width="14.33203125" style="2" customWidth="1"/>
    <col min="6914" max="6914" width="4" style="2" customWidth="1"/>
    <col min="6915" max="7166" width="7.6640625" style="2" customWidth="1"/>
    <col min="7167" max="7167" width="14.33203125" style="2" customWidth="1"/>
    <col min="7168" max="7168" width="4" style="2" customWidth="1"/>
    <col min="7169" max="7169" width="14.33203125" style="2" customWidth="1"/>
    <col min="7170" max="7170" width="4" style="2" customWidth="1"/>
    <col min="7171" max="7422" width="7.6640625" style="2" customWidth="1"/>
    <col min="7423" max="7423" width="14.33203125" style="2" customWidth="1"/>
    <col min="7424" max="7424" width="4" style="2" customWidth="1"/>
    <col min="7425" max="7425" width="14.33203125" style="2" customWidth="1"/>
    <col min="7426" max="7426" width="4" style="2" customWidth="1"/>
    <col min="7427" max="7678" width="7.6640625" style="2" customWidth="1"/>
    <col min="7679" max="7679" width="14.33203125" style="2" customWidth="1"/>
    <col min="7680" max="7680" width="4" style="2" customWidth="1"/>
    <col min="7681" max="7681" width="14.33203125" style="2" customWidth="1"/>
    <col min="7682" max="7682" width="4" style="2" customWidth="1"/>
    <col min="7683" max="7934" width="7.6640625" style="2" customWidth="1"/>
    <col min="7935" max="7935" width="14.33203125" style="2" customWidth="1"/>
    <col min="7936" max="7936" width="4" style="2" customWidth="1"/>
    <col min="7937" max="7937" width="14.33203125" style="2" customWidth="1"/>
    <col min="7938" max="7938" width="4" style="2" customWidth="1"/>
    <col min="7939" max="8190" width="7.6640625" style="2" customWidth="1"/>
    <col min="8191" max="8191" width="14.33203125" style="2" customWidth="1"/>
    <col min="8192" max="8192" width="4" style="2" customWidth="1"/>
    <col min="8193" max="8193" width="14.33203125" style="2" customWidth="1"/>
    <col min="8194" max="8194" width="4" style="2" customWidth="1"/>
    <col min="8195" max="8446" width="7.6640625" style="2" customWidth="1"/>
    <col min="8447" max="8447" width="14.33203125" style="2" customWidth="1"/>
    <col min="8448" max="8448" width="4" style="2" customWidth="1"/>
    <col min="8449" max="8449" width="14.33203125" style="2" customWidth="1"/>
    <col min="8450" max="8450" width="4" style="2" customWidth="1"/>
    <col min="8451" max="8702" width="7.6640625" style="2" customWidth="1"/>
    <col min="8703" max="8703" width="14.33203125" style="2" customWidth="1"/>
    <col min="8704" max="8704" width="4" style="2" customWidth="1"/>
    <col min="8705" max="8705" width="14.33203125" style="2" customWidth="1"/>
    <col min="8706" max="8706" width="4" style="2" customWidth="1"/>
    <col min="8707" max="8958" width="7.6640625" style="2" customWidth="1"/>
    <col min="8959" max="8959" width="14.33203125" style="2" customWidth="1"/>
    <col min="8960" max="8960" width="4" style="2" customWidth="1"/>
    <col min="8961" max="8961" width="14.33203125" style="2" customWidth="1"/>
    <col min="8962" max="8962" width="4" style="2" customWidth="1"/>
    <col min="8963" max="9214" width="7.6640625" style="2" customWidth="1"/>
    <col min="9215" max="9215" width="14.33203125" style="2" customWidth="1"/>
    <col min="9216" max="9216" width="4" style="2" customWidth="1"/>
    <col min="9217" max="9217" width="14.33203125" style="2" customWidth="1"/>
    <col min="9218" max="9218" width="4" style="2" customWidth="1"/>
    <col min="9219" max="9470" width="7.6640625" style="2" customWidth="1"/>
    <col min="9471" max="9471" width="14.33203125" style="2" customWidth="1"/>
    <col min="9472" max="9472" width="4" style="2" customWidth="1"/>
    <col min="9473" max="9473" width="14.33203125" style="2" customWidth="1"/>
    <col min="9474" max="9474" width="4" style="2" customWidth="1"/>
    <col min="9475" max="9726" width="7.6640625" style="2" customWidth="1"/>
    <col min="9727" max="9727" width="14.33203125" style="2" customWidth="1"/>
    <col min="9728" max="9728" width="4" style="2" customWidth="1"/>
    <col min="9729" max="9729" width="14.33203125" style="2" customWidth="1"/>
    <col min="9730" max="9730" width="4" style="2" customWidth="1"/>
    <col min="9731" max="9982" width="7.6640625" style="2" customWidth="1"/>
    <col min="9983" max="9983" width="14.33203125" style="2" customWidth="1"/>
    <col min="9984" max="9984" width="4" style="2" customWidth="1"/>
    <col min="9985" max="9985" width="14.33203125" style="2" customWidth="1"/>
    <col min="9986" max="9986" width="4" style="2" customWidth="1"/>
    <col min="9987" max="10238" width="7.6640625" style="2" customWidth="1"/>
    <col min="10239" max="10239" width="14.33203125" style="2" customWidth="1"/>
    <col min="10240" max="10240" width="4" style="2" customWidth="1"/>
    <col min="10241" max="10241" width="14.33203125" style="2" customWidth="1"/>
    <col min="10242" max="10242" width="4" style="2" customWidth="1"/>
    <col min="10243" max="10494" width="7.6640625" style="2" customWidth="1"/>
    <col min="10495" max="10495" width="14.33203125" style="2" customWidth="1"/>
    <col min="10496" max="10496" width="4" style="2" customWidth="1"/>
    <col min="10497" max="10497" width="14.33203125" style="2" customWidth="1"/>
    <col min="10498" max="10498" width="4" style="2" customWidth="1"/>
    <col min="10499" max="10750" width="7.6640625" style="2" customWidth="1"/>
    <col min="10751" max="10751" width="14.33203125" style="2" customWidth="1"/>
    <col min="10752" max="10752" width="4" style="2" customWidth="1"/>
    <col min="10753" max="10753" width="14.33203125" style="2" customWidth="1"/>
    <col min="10754" max="10754" width="4" style="2" customWidth="1"/>
    <col min="10755" max="11006" width="7.6640625" style="2" customWidth="1"/>
    <col min="11007" max="11007" width="14.33203125" style="2" customWidth="1"/>
    <col min="11008" max="11008" width="4" style="2" customWidth="1"/>
    <col min="11009" max="11009" width="14.33203125" style="2" customWidth="1"/>
    <col min="11010" max="11010" width="4" style="2" customWidth="1"/>
    <col min="11011" max="11262" width="7.6640625" style="2" customWidth="1"/>
    <col min="11263" max="11263" width="14.33203125" style="2" customWidth="1"/>
    <col min="11264" max="11264" width="4" style="2" customWidth="1"/>
    <col min="11265" max="11265" width="14.33203125" style="2" customWidth="1"/>
    <col min="11266" max="11266" width="4" style="2" customWidth="1"/>
    <col min="11267" max="11518" width="7.6640625" style="2" customWidth="1"/>
    <col min="11519" max="11519" width="14.33203125" style="2" customWidth="1"/>
    <col min="11520" max="11520" width="4" style="2" customWidth="1"/>
    <col min="11521" max="11521" width="14.33203125" style="2" customWidth="1"/>
    <col min="11522" max="11522" width="4" style="2" customWidth="1"/>
    <col min="11523" max="11774" width="7.6640625" style="2" customWidth="1"/>
    <col min="11775" max="11775" width="14.33203125" style="2" customWidth="1"/>
    <col min="11776" max="11776" width="4" style="2" customWidth="1"/>
    <col min="11777" max="11777" width="14.33203125" style="2" customWidth="1"/>
    <col min="11778" max="11778" width="4" style="2" customWidth="1"/>
    <col min="11779" max="12030" width="7.6640625" style="2" customWidth="1"/>
    <col min="12031" max="12031" width="14.33203125" style="2" customWidth="1"/>
    <col min="12032" max="12032" width="4" style="2" customWidth="1"/>
    <col min="12033" max="12033" width="14.33203125" style="2" customWidth="1"/>
    <col min="12034" max="12034" width="4" style="2" customWidth="1"/>
    <col min="12035" max="12286" width="7.6640625" style="2" customWidth="1"/>
    <col min="12287" max="12287" width="14.33203125" style="2" customWidth="1"/>
    <col min="12288" max="12288" width="4" style="2" customWidth="1"/>
    <col min="12289" max="12289" width="14.33203125" style="2" customWidth="1"/>
    <col min="12290" max="12290" width="4" style="2" customWidth="1"/>
    <col min="12291" max="12542" width="7.6640625" style="2" customWidth="1"/>
    <col min="12543" max="12543" width="14.33203125" style="2" customWidth="1"/>
    <col min="12544" max="12544" width="4" style="2" customWidth="1"/>
    <col min="12545" max="12545" width="14.33203125" style="2" customWidth="1"/>
    <col min="12546" max="12546" width="4" style="2" customWidth="1"/>
    <col min="12547" max="12798" width="7.6640625" style="2" customWidth="1"/>
    <col min="12799" max="12799" width="14.33203125" style="2" customWidth="1"/>
    <col min="12800" max="12800" width="4" style="2" customWidth="1"/>
    <col min="12801" max="12801" width="14.33203125" style="2" customWidth="1"/>
    <col min="12802" max="12802" width="4" style="2" customWidth="1"/>
    <col min="12803" max="13054" width="7.6640625" style="2" customWidth="1"/>
    <col min="13055" max="13055" width="14.33203125" style="2" customWidth="1"/>
    <col min="13056" max="13056" width="4" style="2" customWidth="1"/>
    <col min="13057" max="13057" width="14.33203125" style="2" customWidth="1"/>
    <col min="13058" max="13058" width="4" style="2" customWidth="1"/>
    <col min="13059" max="13310" width="7.6640625" style="2" customWidth="1"/>
    <col min="13311" max="13311" width="14.33203125" style="2" customWidth="1"/>
    <col min="13312" max="13312" width="4" style="2" customWidth="1"/>
    <col min="13313" max="13313" width="14.33203125" style="2" customWidth="1"/>
    <col min="13314" max="13314" width="4" style="2" customWidth="1"/>
    <col min="13315" max="13566" width="7.6640625" style="2" customWidth="1"/>
    <col min="13567" max="13567" width="14.33203125" style="2" customWidth="1"/>
    <col min="13568" max="13568" width="4" style="2" customWidth="1"/>
    <col min="13569" max="13569" width="14.33203125" style="2" customWidth="1"/>
    <col min="13570" max="13570" width="4" style="2" customWidth="1"/>
    <col min="13571" max="13822" width="7.6640625" style="2" customWidth="1"/>
    <col min="13823" max="13823" width="14.33203125" style="2" customWidth="1"/>
    <col min="13824" max="13824" width="4" style="2" customWidth="1"/>
    <col min="13825" max="13825" width="14.33203125" style="2" customWidth="1"/>
    <col min="13826" max="13826" width="4" style="2" customWidth="1"/>
    <col min="13827" max="14078" width="7.6640625" style="2" customWidth="1"/>
    <col min="14079" max="14079" width="14.33203125" style="2" customWidth="1"/>
    <col min="14080" max="14080" width="4" style="2" customWidth="1"/>
    <col min="14081" max="14081" width="14.33203125" style="2" customWidth="1"/>
    <col min="14082" max="14082" width="4" style="2" customWidth="1"/>
    <col min="14083" max="14334" width="7.6640625" style="2" customWidth="1"/>
    <col min="14335" max="14335" width="14.33203125" style="2" customWidth="1"/>
    <col min="14336" max="14336" width="4" style="2" customWidth="1"/>
    <col min="14337" max="14337" width="14.33203125" style="2" customWidth="1"/>
    <col min="14338" max="14338" width="4" style="2" customWidth="1"/>
    <col min="14339" max="14590" width="7.6640625" style="2" customWidth="1"/>
    <col min="14591" max="14591" width="14.33203125" style="2" customWidth="1"/>
    <col min="14592" max="14592" width="4" style="2" customWidth="1"/>
    <col min="14593" max="14593" width="14.33203125" style="2" customWidth="1"/>
    <col min="14594" max="14594" width="4" style="2" customWidth="1"/>
    <col min="14595" max="14846" width="7.6640625" style="2" customWidth="1"/>
    <col min="14847" max="14847" width="14.33203125" style="2" customWidth="1"/>
    <col min="14848" max="14848" width="4" style="2" customWidth="1"/>
    <col min="14849" max="14849" width="14.33203125" style="2" customWidth="1"/>
    <col min="14850" max="14850" width="4" style="2" customWidth="1"/>
    <col min="14851" max="15102" width="7.6640625" style="2" customWidth="1"/>
    <col min="15103" max="15103" width="14.33203125" style="2" customWidth="1"/>
    <col min="15104" max="15104" width="4" style="2" customWidth="1"/>
    <col min="15105" max="15105" width="14.33203125" style="2" customWidth="1"/>
    <col min="15106" max="15106" width="4" style="2" customWidth="1"/>
    <col min="15107" max="15358" width="7.6640625" style="2" customWidth="1"/>
    <col min="15359" max="15359" width="14.33203125" style="2" customWidth="1"/>
    <col min="15360" max="15360" width="4" style="2" customWidth="1"/>
    <col min="15361" max="15361" width="14.33203125" style="2" customWidth="1"/>
    <col min="15362" max="15362" width="4" style="2" customWidth="1"/>
    <col min="15363" max="15614" width="7.6640625" style="2" customWidth="1"/>
    <col min="15615" max="15615" width="14.33203125" style="2" customWidth="1"/>
    <col min="15616" max="15616" width="4" style="2" customWidth="1"/>
    <col min="15617" max="15617" width="14.33203125" style="2" customWidth="1"/>
    <col min="15618" max="15618" width="4" style="2" customWidth="1"/>
    <col min="15619" max="15870" width="7.6640625" style="2" customWidth="1"/>
    <col min="15871" max="15871" width="14.33203125" style="2" customWidth="1"/>
    <col min="15872" max="15872" width="4" style="2" customWidth="1"/>
    <col min="15873" max="15873" width="14.33203125" style="2" customWidth="1"/>
    <col min="15874" max="15874" width="4" style="2" customWidth="1"/>
    <col min="15875" max="16126" width="7.6640625" style="2" customWidth="1"/>
    <col min="16127" max="16127" width="14.33203125" style="2" customWidth="1"/>
    <col min="16128" max="16128" width="4" style="2" customWidth="1"/>
    <col min="16129" max="16129" width="14.33203125" style="2" customWidth="1"/>
    <col min="16130" max="16130" width="4" style="2" customWidth="1"/>
    <col min="16131" max="16384" width="7.6640625" style="2" customWidth="1"/>
  </cols>
  <sheetData>
    <row r="1" spans="1:24" ht="15" customHeight="1" x14ac:dyDescent="0.3">
      <c r="A1" s="85"/>
      <c r="B1" s="86"/>
      <c r="C1" s="86"/>
      <c r="D1" s="86"/>
      <c r="E1" s="86"/>
      <c r="F1" s="1"/>
      <c r="G1" s="1"/>
      <c r="H1" s="1"/>
      <c r="I1" s="1"/>
      <c r="J1" s="1"/>
      <c r="K1" s="1"/>
      <c r="L1" s="1"/>
      <c r="M1" s="1"/>
      <c r="N1" s="1"/>
      <c r="O1" s="1"/>
      <c r="P1" s="1"/>
      <c r="Q1" s="1"/>
      <c r="R1" s="1"/>
      <c r="S1" s="1"/>
      <c r="T1" s="1"/>
      <c r="U1" s="1"/>
      <c r="V1" s="1"/>
      <c r="W1" s="1"/>
      <c r="X1" s="1"/>
    </row>
    <row r="2" spans="1:24" ht="15" customHeight="1" x14ac:dyDescent="0.3">
      <c r="A2" s="3"/>
      <c r="B2" s="589" t="s">
        <v>213</v>
      </c>
      <c r="C2" s="10"/>
      <c r="D2" s="10"/>
      <c r="E2" s="10"/>
      <c r="F2" s="3"/>
      <c r="G2" s="3"/>
      <c r="H2" s="3"/>
      <c r="I2" s="3"/>
      <c r="J2" s="3"/>
      <c r="K2" s="3"/>
      <c r="L2" s="17"/>
      <c r="M2" s="3"/>
      <c r="N2" s="3"/>
      <c r="O2" s="3"/>
      <c r="P2" s="9"/>
      <c r="Q2" s="3"/>
      <c r="R2" s="3"/>
      <c r="S2" s="3"/>
      <c r="T2" s="3"/>
      <c r="U2" s="3"/>
      <c r="V2" s="3"/>
      <c r="W2" s="3"/>
      <c r="X2" s="3"/>
    </row>
    <row r="3" spans="1:24" ht="15" customHeight="1" x14ac:dyDescent="0.3">
      <c r="A3" s="3"/>
      <c r="B3" s="615" t="s">
        <v>290</v>
      </c>
      <c r="C3" s="3"/>
      <c r="D3" s="3"/>
      <c r="E3" s="3"/>
      <c r="F3" s="3"/>
      <c r="G3" s="3"/>
      <c r="H3" s="3"/>
      <c r="I3" s="3"/>
      <c r="J3" s="3"/>
      <c r="K3" s="3"/>
      <c r="L3" s="3"/>
      <c r="M3" s="3"/>
      <c r="N3" s="3"/>
      <c r="O3" s="3"/>
      <c r="P3" s="357"/>
      <c r="Q3" s="3"/>
      <c r="R3" s="3"/>
      <c r="S3" s="3"/>
      <c r="T3" s="3"/>
      <c r="U3" s="3"/>
      <c r="V3" s="3"/>
      <c r="W3" s="3"/>
      <c r="X3" s="3"/>
    </row>
    <row r="4" spans="1:24" ht="15" customHeight="1" x14ac:dyDescent="0.3">
      <c r="A4" s="3"/>
      <c r="B4" s="594" t="str">
        <f>Overview!$B$7</f>
        <v>Grove Park Drive</v>
      </c>
      <c r="C4" s="3"/>
      <c r="D4" s="3"/>
      <c r="E4" s="3"/>
      <c r="F4" s="3"/>
      <c r="G4" s="3"/>
      <c r="H4" s="3"/>
      <c r="I4" s="3"/>
      <c r="J4" s="3"/>
      <c r="K4" s="3"/>
      <c r="L4" s="3"/>
      <c r="M4" s="3"/>
      <c r="N4" s="3"/>
      <c r="O4" s="3"/>
      <c r="P4" s="3"/>
      <c r="Q4" s="3"/>
      <c r="R4" s="3"/>
      <c r="S4" s="3"/>
      <c r="T4" s="3"/>
      <c r="U4" s="3"/>
      <c r="V4" s="3"/>
      <c r="W4" s="3"/>
      <c r="X4" s="3"/>
    </row>
    <row r="5" spans="1:24" ht="15" customHeight="1" x14ac:dyDescent="0.3">
      <c r="A5" s="3"/>
      <c r="B5" s="594"/>
      <c r="C5" s="3"/>
      <c r="D5" s="3"/>
      <c r="E5" s="3"/>
      <c r="F5" s="3"/>
      <c r="G5" s="3"/>
      <c r="H5" s="3"/>
      <c r="I5" s="3"/>
      <c r="J5" s="3"/>
      <c r="K5" s="3"/>
      <c r="L5" s="3"/>
      <c r="M5" s="3"/>
      <c r="N5" s="3"/>
      <c r="O5" s="3"/>
      <c r="P5" s="3"/>
      <c r="Q5" s="3"/>
      <c r="R5" s="3"/>
      <c r="S5" s="3"/>
      <c r="T5" s="3"/>
      <c r="U5" s="3"/>
      <c r="V5" s="3"/>
      <c r="W5" s="3"/>
      <c r="X5" s="3"/>
    </row>
    <row r="6" spans="1:24" ht="15" customHeight="1" x14ac:dyDescent="0.3">
      <c r="A6" s="3"/>
      <c r="B6" s="1519" t="s">
        <v>197</v>
      </c>
      <c r="C6" s="1519"/>
      <c r="D6" s="1519"/>
      <c r="E6" s="1519"/>
      <c r="F6" s="1519"/>
      <c r="G6" s="1519"/>
      <c r="H6" s="1519"/>
      <c r="I6" s="1519"/>
      <c r="J6" s="1519"/>
      <c r="K6" s="1519"/>
      <c r="L6" s="1519"/>
      <c r="M6" s="1519"/>
      <c r="N6" s="1519"/>
      <c r="O6" s="1519"/>
      <c r="P6" s="3"/>
      <c r="Q6" s="3"/>
      <c r="R6" s="3"/>
      <c r="S6" s="3"/>
      <c r="T6" s="3"/>
      <c r="U6" s="3"/>
      <c r="V6" s="3"/>
      <c r="W6" s="3"/>
      <c r="X6" s="3"/>
    </row>
    <row r="7" spans="1:24" ht="15" customHeight="1" x14ac:dyDescent="0.3">
      <c r="A7" s="3"/>
      <c r="B7" s="1521" t="s">
        <v>194</v>
      </c>
      <c r="C7" s="1522"/>
      <c r="D7" s="1512" t="s">
        <v>205</v>
      </c>
      <c r="E7" s="1512"/>
      <c r="F7" s="1512"/>
      <c r="G7" s="1512"/>
      <c r="H7" s="1512" t="s">
        <v>206</v>
      </c>
      <c r="I7" s="1512"/>
      <c r="J7" s="1512"/>
      <c r="K7" s="1512"/>
      <c r="L7" s="1512" t="s">
        <v>207</v>
      </c>
      <c r="M7" s="1512"/>
      <c r="N7" s="1512"/>
      <c r="O7" s="1512"/>
      <c r="P7" s="3"/>
      <c r="Q7" s="3"/>
      <c r="R7" s="3"/>
      <c r="S7" s="3"/>
      <c r="T7" s="3"/>
      <c r="U7" s="3"/>
      <c r="V7" s="3"/>
      <c r="W7" s="3"/>
      <c r="X7" s="3"/>
    </row>
    <row r="8" spans="1:24" ht="15" customHeight="1" x14ac:dyDescent="0.3">
      <c r="A8" s="79"/>
      <c r="B8" s="1521"/>
      <c r="C8" s="1522"/>
      <c r="D8" s="1527" t="s">
        <v>208</v>
      </c>
      <c r="E8" s="1527"/>
      <c r="F8" s="1527" t="s">
        <v>209</v>
      </c>
      <c r="G8" s="1527"/>
      <c r="H8" s="1527" t="s">
        <v>208</v>
      </c>
      <c r="I8" s="1527"/>
      <c r="J8" s="1527" t="s">
        <v>209</v>
      </c>
      <c r="K8" s="1527"/>
      <c r="L8" s="1527" t="s">
        <v>208</v>
      </c>
      <c r="M8" s="1527"/>
      <c r="N8" s="1527" t="s">
        <v>209</v>
      </c>
      <c r="O8" s="1527"/>
      <c r="P8" s="3"/>
      <c r="Q8" s="3"/>
      <c r="R8" s="3"/>
      <c r="S8" s="3"/>
      <c r="T8" s="3"/>
      <c r="U8" s="3"/>
      <c r="V8" s="3"/>
      <c r="W8" s="3"/>
      <c r="X8" s="3"/>
    </row>
    <row r="9" spans="1:24" ht="15" customHeight="1" x14ac:dyDescent="0.3">
      <c r="A9" s="32"/>
      <c r="B9" s="1523"/>
      <c r="C9" s="1524"/>
      <c r="D9" s="234" t="s">
        <v>195</v>
      </c>
      <c r="E9" s="234" t="s">
        <v>196</v>
      </c>
      <c r="F9" s="234" t="s">
        <v>195</v>
      </c>
      <c r="G9" s="234" t="s">
        <v>196</v>
      </c>
      <c r="H9" s="234" t="s">
        <v>195</v>
      </c>
      <c r="I9" s="234" t="s">
        <v>196</v>
      </c>
      <c r="J9" s="234" t="s">
        <v>195</v>
      </c>
      <c r="K9" s="234" t="s">
        <v>196</v>
      </c>
      <c r="L9" s="234" t="s">
        <v>195</v>
      </c>
      <c r="M9" s="234" t="s">
        <v>196</v>
      </c>
      <c r="N9" s="234" t="s">
        <v>195</v>
      </c>
      <c r="O9" s="234" t="s">
        <v>196</v>
      </c>
      <c r="P9" s="3"/>
      <c r="Q9" s="3"/>
      <c r="R9" s="3"/>
      <c r="S9" s="3"/>
      <c r="T9" s="3"/>
      <c r="U9" s="3"/>
      <c r="V9" s="3"/>
      <c r="W9" s="3"/>
      <c r="X9" s="3"/>
    </row>
    <row r="10" spans="1:24" ht="15" customHeight="1" x14ac:dyDescent="0.3">
      <c r="A10" s="3"/>
      <c r="B10" s="1510">
        <v>1</v>
      </c>
      <c r="C10" s="1513" t="s">
        <v>2</v>
      </c>
      <c r="D10" s="1507">
        <v>1.0088999999999999</v>
      </c>
      <c r="E10" s="1507">
        <v>1.0221</v>
      </c>
      <c r="F10" s="1507">
        <v>1.0004</v>
      </c>
      <c r="G10" s="1507">
        <v>1.0138</v>
      </c>
      <c r="H10" s="1507">
        <v>1.0134000000000001</v>
      </c>
      <c r="I10" s="1507">
        <v>1.0237000000000001</v>
      </c>
      <c r="J10" s="1507">
        <v>1.0038</v>
      </c>
      <c r="K10" s="1507">
        <v>1.0176000000000001</v>
      </c>
      <c r="L10" s="1504">
        <v>1.0148999999999999</v>
      </c>
      <c r="M10" s="1504">
        <v>1.0242</v>
      </c>
      <c r="N10" s="1504">
        <v>1.0054000000000001</v>
      </c>
      <c r="O10" s="1504">
        <v>1.0198</v>
      </c>
      <c r="P10" s="3"/>
      <c r="Q10" s="3"/>
      <c r="R10" s="3"/>
      <c r="S10" s="3"/>
      <c r="T10" s="3"/>
      <c r="U10" s="3"/>
      <c r="V10" s="3"/>
      <c r="W10" s="3"/>
      <c r="X10" s="3"/>
    </row>
    <row r="11" spans="1:24" ht="15" customHeight="1" x14ac:dyDescent="0.3">
      <c r="A11" s="3"/>
      <c r="B11" s="1511"/>
      <c r="C11" s="1514"/>
      <c r="D11" s="1508"/>
      <c r="E11" s="1508"/>
      <c r="F11" s="1508"/>
      <c r="G11" s="1508"/>
      <c r="H11" s="1508"/>
      <c r="I11" s="1508"/>
      <c r="J11" s="1508"/>
      <c r="K11" s="1508"/>
      <c r="L11" s="1505"/>
      <c r="M11" s="1505"/>
      <c r="N11" s="1505"/>
      <c r="O11" s="1505"/>
      <c r="P11" s="3"/>
      <c r="Q11" s="3"/>
      <c r="R11" s="3"/>
      <c r="S11" s="3"/>
      <c r="T11" s="3"/>
      <c r="U11" s="3"/>
      <c r="V11" s="3"/>
      <c r="W11" s="3"/>
      <c r="X11" s="3"/>
    </row>
    <row r="12" spans="1:24" ht="15" customHeight="1" x14ac:dyDescent="0.3">
      <c r="A12" s="3"/>
      <c r="B12" s="1511"/>
      <c r="C12" s="1514"/>
      <c r="D12" s="1508"/>
      <c r="E12" s="1508"/>
      <c r="F12" s="1508"/>
      <c r="G12" s="1508"/>
      <c r="H12" s="1508"/>
      <c r="I12" s="1508"/>
      <c r="J12" s="1508"/>
      <c r="K12" s="1508"/>
      <c r="L12" s="1505"/>
      <c r="M12" s="1505"/>
      <c r="N12" s="1505"/>
      <c r="O12" s="1505"/>
      <c r="P12" s="3"/>
      <c r="Q12" s="3"/>
      <c r="R12" s="3"/>
      <c r="S12" s="3"/>
      <c r="T12" s="3"/>
      <c r="U12" s="3"/>
      <c r="V12" s="3"/>
      <c r="W12" s="3"/>
      <c r="X12" s="3"/>
    </row>
    <row r="13" spans="1:24" ht="15" customHeight="1" x14ac:dyDescent="0.3">
      <c r="A13" s="3"/>
      <c r="B13" s="1512"/>
      <c r="C13" s="1515"/>
      <c r="D13" s="1509"/>
      <c r="E13" s="1509"/>
      <c r="F13" s="1509"/>
      <c r="G13" s="1509"/>
      <c r="H13" s="1509"/>
      <c r="I13" s="1509"/>
      <c r="J13" s="1509"/>
      <c r="K13" s="1509"/>
      <c r="L13" s="1506"/>
      <c r="M13" s="1506"/>
      <c r="N13" s="1506"/>
      <c r="O13" s="1506"/>
      <c r="P13" s="3"/>
      <c r="Q13" s="3"/>
      <c r="R13" s="3"/>
      <c r="S13" s="3"/>
      <c r="T13" s="3"/>
      <c r="U13" s="3"/>
      <c r="V13" s="3"/>
      <c r="W13" s="3"/>
      <c r="X13" s="3"/>
    </row>
    <row r="14" spans="1:24" ht="15" customHeight="1" x14ac:dyDescent="0.3">
      <c r="A14" s="3"/>
      <c r="B14" s="1510">
        <v>2</v>
      </c>
      <c r="C14" s="1513" t="s">
        <v>212</v>
      </c>
      <c r="D14" s="1507">
        <v>1.0108999999999999</v>
      </c>
      <c r="E14" s="1507">
        <v>1.0221</v>
      </c>
      <c r="F14" s="1507">
        <v>1.0018</v>
      </c>
      <c r="G14" s="1507">
        <v>1.0138</v>
      </c>
      <c r="H14" s="1507">
        <v>1.014</v>
      </c>
      <c r="I14" s="1507">
        <v>1.0237000000000001</v>
      </c>
      <c r="J14" s="1507">
        <v>1.0047999999999999</v>
      </c>
      <c r="K14" s="1507">
        <v>1.0176000000000001</v>
      </c>
      <c r="L14" s="1504">
        <v>1.0154000000000001</v>
      </c>
      <c r="M14" s="1504">
        <v>1.0242</v>
      </c>
      <c r="N14" s="1504">
        <v>1.0054000000000001</v>
      </c>
      <c r="O14" s="1504">
        <v>1.0198</v>
      </c>
      <c r="P14" s="3"/>
      <c r="Q14" s="3"/>
      <c r="R14" s="3"/>
      <c r="S14" s="3"/>
      <c r="T14" s="3"/>
      <c r="U14" s="3"/>
      <c r="V14" s="3"/>
      <c r="W14" s="3"/>
      <c r="X14" s="3"/>
    </row>
    <row r="15" spans="1:24" ht="15" customHeight="1" x14ac:dyDescent="0.3">
      <c r="A15" s="3"/>
      <c r="B15" s="1511"/>
      <c r="C15" s="1514"/>
      <c r="D15" s="1508"/>
      <c r="E15" s="1508"/>
      <c r="F15" s="1508"/>
      <c r="G15" s="1508"/>
      <c r="H15" s="1508"/>
      <c r="I15" s="1508"/>
      <c r="J15" s="1508"/>
      <c r="K15" s="1508"/>
      <c r="L15" s="1505"/>
      <c r="M15" s="1505"/>
      <c r="N15" s="1505"/>
      <c r="O15" s="1505"/>
      <c r="P15" s="3"/>
      <c r="Q15" s="3"/>
      <c r="R15" s="3"/>
      <c r="S15" s="3"/>
      <c r="T15" s="3"/>
      <c r="U15" s="3"/>
      <c r="V15" s="3"/>
      <c r="W15" s="3"/>
      <c r="X15" s="3"/>
    </row>
    <row r="16" spans="1:24" ht="15" customHeight="1" x14ac:dyDescent="0.3">
      <c r="A16" s="3"/>
      <c r="B16" s="1511"/>
      <c r="C16" s="1514"/>
      <c r="D16" s="1508"/>
      <c r="E16" s="1508"/>
      <c r="F16" s="1508"/>
      <c r="G16" s="1508"/>
      <c r="H16" s="1508"/>
      <c r="I16" s="1508"/>
      <c r="J16" s="1508"/>
      <c r="K16" s="1508"/>
      <c r="L16" s="1505"/>
      <c r="M16" s="1505"/>
      <c r="N16" s="1505"/>
      <c r="O16" s="1505"/>
      <c r="P16" s="3"/>
      <c r="Q16" s="3"/>
      <c r="R16" s="3"/>
      <c r="S16" s="3"/>
      <c r="T16" s="3"/>
      <c r="U16" s="3"/>
      <c r="V16" s="3"/>
      <c r="W16" s="3"/>
      <c r="X16" s="3"/>
    </row>
    <row r="17" spans="1:24" ht="15" customHeight="1" x14ac:dyDescent="0.3">
      <c r="A17" s="3"/>
      <c r="B17" s="1512"/>
      <c r="C17" s="1515"/>
      <c r="D17" s="1509"/>
      <c r="E17" s="1509"/>
      <c r="F17" s="1509"/>
      <c r="G17" s="1509"/>
      <c r="H17" s="1509"/>
      <c r="I17" s="1509"/>
      <c r="J17" s="1509"/>
      <c r="K17" s="1509"/>
      <c r="L17" s="1506"/>
      <c r="M17" s="1506"/>
      <c r="N17" s="1506"/>
      <c r="O17" s="1506"/>
      <c r="P17" s="3"/>
      <c r="Q17" s="3"/>
      <c r="R17" s="3"/>
      <c r="S17" s="3"/>
      <c r="T17" s="3"/>
      <c r="U17" s="3"/>
      <c r="V17" s="3"/>
      <c r="W17" s="3"/>
      <c r="X17" s="3"/>
    </row>
    <row r="18" spans="1:24" ht="15" customHeight="1" x14ac:dyDescent="0.3">
      <c r="A18" s="3"/>
      <c r="B18" s="1510">
        <v>3</v>
      </c>
      <c r="C18" s="1513" t="s">
        <v>191</v>
      </c>
      <c r="D18" s="1507">
        <v>1.0087999999999999</v>
      </c>
      <c r="E18" s="1507">
        <v>1.0221</v>
      </c>
      <c r="F18" s="1507">
        <v>0.99970000000000003</v>
      </c>
      <c r="G18" s="1507">
        <v>1.0138</v>
      </c>
      <c r="H18" s="1507">
        <v>1.012</v>
      </c>
      <c r="I18" s="1507">
        <v>1.0237000000000001</v>
      </c>
      <c r="J18" s="1516">
        <v>1.0029999999999999</v>
      </c>
      <c r="K18" s="1507">
        <v>1.0176000000000001</v>
      </c>
      <c r="L18" s="1504">
        <v>1.0130999999999999</v>
      </c>
      <c r="M18" s="1504">
        <v>1.0242</v>
      </c>
      <c r="N18" s="1504">
        <v>1.0018</v>
      </c>
      <c r="O18" s="1504">
        <v>1.0198</v>
      </c>
      <c r="P18" s="3"/>
      <c r="Q18" s="3"/>
      <c r="R18" s="3"/>
      <c r="S18" s="3"/>
      <c r="T18" s="3"/>
      <c r="U18" s="3"/>
      <c r="V18" s="3"/>
      <c r="W18" s="3"/>
      <c r="X18" s="3"/>
    </row>
    <row r="19" spans="1:24" ht="15" customHeight="1" x14ac:dyDescent="0.3">
      <c r="A19" s="3"/>
      <c r="B19" s="1511"/>
      <c r="C19" s="1514"/>
      <c r="D19" s="1508"/>
      <c r="E19" s="1508"/>
      <c r="F19" s="1508"/>
      <c r="G19" s="1508"/>
      <c r="H19" s="1508"/>
      <c r="I19" s="1508"/>
      <c r="J19" s="1517"/>
      <c r="K19" s="1508"/>
      <c r="L19" s="1505"/>
      <c r="M19" s="1505"/>
      <c r="N19" s="1505"/>
      <c r="O19" s="1505"/>
      <c r="P19" s="3"/>
      <c r="Q19" s="3"/>
      <c r="R19" s="3"/>
      <c r="S19" s="3"/>
      <c r="T19" s="3"/>
      <c r="U19" s="3"/>
      <c r="V19" s="3"/>
      <c r="W19" s="3"/>
      <c r="X19" s="3"/>
    </row>
    <row r="20" spans="1:24" ht="15" customHeight="1" x14ac:dyDescent="0.3">
      <c r="A20" s="3"/>
      <c r="B20" s="1511"/>
      <c r="C20" s="1514"/>
      <c r="D20" s="1508"/>
      <c r="E20" s="1508"/>
      <c r="F20" s="1508"/>
      <c r="G20" s="1508"/>
      <c r="H20" s="1508"/>
      <c r="I20" s="1508"/>
      <c r="J20" s="1517"/>
      <c r="K20" s="1508"/>
      <c r="L20" s="1505"/>
      <c r="M20" s="1505"/>
      <c r="N20" s="1505"/>
      <c r="O20" s="1505"/>
      <c r="P20" s="3"/>
      <c r="Q20" s="3"/>
      <c r="R20" s="3"/>
      <c r="S20" s="3"/>
      <c r="T20" s="3"/>
      <c r="U20" s="3"/>
      <c r="V20" s="3"/>
      <c r="W20" s="3"/>
      <c r="X20" s="3"/>
    </row>
    <row r="21" spans="1:24" ht="15" customHeight="1" x14ac:dyDescent="0.3">
      <c r="A21" s="3"/>
      <c r="B21" s="1512"/>
      <c r="C21" s="1515"/>
      <c r="D21" s="1509"/>
      <c r="E21" s="1509"/>
      <c r="F21" s="1509"/>
      <c r="G21" s="1509"/>
      <c r="H21" s="1509"/>
      <c r="I21" s="1509"/>
      <c r="J21" s="1518"/>
      <c r="K21" s="1509"/>
      <c r="L21" s="1506"/>
      <c r="M21" s="1506"/>
      <c r="N21" s="1506"/>
      <c r="O21" s="1506"/>
      <c r="P21" s="3"/>
      <c r="Q21" s="3"/>
      <c r="R21" s="3"/>
      <c r="S21" s="3"/>
      <c r="T21" s="3"/>
      <c r="U21" s="3"/>
      <c r="V21" s="3"/>
      <c r="W21" s="3"/>
      <c r="X21" s="3"/>
    </row>
    <row r="22" spans="1:24" ht="15" customHeight="1" x14ac:dyDescent="0.3">
      <c r="A22" s="3"/>
      <c r="B22" s="1510">
        <v>4</v>
      </c>
      <c r="C22" s="1513" t="s">
        <v>188</v>
      </c>
      <c r="D22" s="1507">
        <v>1.0082</v>
      </c>
      <c r="E22" s="1507">
        <v>1.0221</v>
      </c>
      <c r="F22" s="1507">
        <v>0.99980000000000002</v>
      </c>
      <c r="G22" s="1507">
        <v>1.0138</v>
      </c>
      <c r="H22" s="1507">
        <v>1.0114000000000001</v>
      </c>
      <c r="I22" s="1507">
        <v>1.0237000000000001</v>
      </c>
      <c r="J22" s="1516">
        <v>1.0029999999999999</v>
      </c>
      <c r="K22" s="1507">
        <v>1.0176000000000001</v>
      </c>
      <c r="L22" s="1504">
        <v>1.0124</v>
      </c>
      <c r="M22" s="1504">
        <v>1.0242</v>
      </c>
      <c r="N22" s="1504">
        <v>1.0044</v>
      </c>
      <c r="O22" s="1504">
        <v>1.0198</v>
      </c>
      <c r="P22" s="3"/>
      <c r="Q22" s="3"/>
      <c r="R22" s="3"/>
      <c r="S22" s="3"/>
      <c r="T22" s="3"/>
      <c r="U22" s="3"/>
      <c r="V22" s="3"/>
      <c r="W22" s="3"/>
      <c r="X22" s="3"/>
    </row>
    <row r="23" spans="1:24" ht="15" customHeight="1" x14ac:dyDescent="0.3">
      <c r="A23" s="3"/>
      <c r="B23" s="1511"/>
      <c r="C23" s="1514"/>
      <c r="D23" s="1508"/>
      <c r="E23" s="1508"/>
      <c r="F23" s="1508"/>
      <c r="G23" s="1508"/>
      <c r="H23" s="1508"/>
      <c r="I23" s="1508"/>
      <c r="J23" s="1517"/>
      <c r="K23" s="1508"/>
      <c r="L23" s="1505"/>
      <c r="M23" s="1505"/>
      <c r="N23" s="1505"/>
      <c r="O23" s="1505"/>
      <c r="P23" s="3"/>
      <c r="Q23" s="3"/>
      <c r="R23" s="3"/>
      <c r="S23" s="3"/>
      <c r="T23" s="3"/>
      <c r="U23" s="3"/>
      <c r="V23" s="3"/>
      <c r="W23" s="3"/>
      <c r="X23" s="3"/>
    </row>
    <row r="24" spans="1:24" ht="15" customHeight="1" x14ac:dyDescent="0.3">
      <c r="A24" s="3"/>
      <c r="B24" s="1511"/>
      <c r="C24" s="1514"/>
      <c r="D24" s="1508"/>
      <c r="E24" s="1508"/>
      <c r="F24" s="1508"/>
      <c r="G24" s="1508"/>
      <c r="H24" s="1508"/>
      <c r="I24" s="1508"/>
      <c r="J24" s="1517"/>
      <c r="K24" s="1508"/>
      <c r="L24" s="1505"/>
      <c r="M24" s="1505"/>
      <c r="N24" s="1505"/>
      <c r="O24" s="1505"/>
      <c r="P24" s="3"/>
      <c r="Q24" s="3"/>
      <c r="R24" s="3"/>
      <c r="S24" s="3"/>
      <c r="T24" s="3"/>
      <c r="U24" s="3"/>
      <c r="V24" s="3"/>
      <c r="W24" s="3"/>
      <c r="X24" s="3"/>
    </row>
    <row r="25" spans="1:24" ht="15" customHeight="1" x14ac:dyDescent="0.3">
      <c r="A25" s="3"/>
      <c r="B25" s="1512"/>
      <c r="C25" s="1515"/>
      <c r="D25" s="1509"/>
      <c r="E25" s="1509"/>
      <c r="F25" s="1509"/>
      <c r="G25" s="1509"/>
      <c r="H25" s="1509"/>
      <c r="I25" s="1509"/>
      <c r="J25" s="1518"/>
      <c r="K25" s="1509"/>
      <c r="L25" s="1506"/>
      <c r="M25" s="1506"/>
      <c r="N25" s="1506"/>
      <c r="O25" s="1506"/>
      <c r="P25" s="3"/>
      <c r="Q25" s="3"/>
      <c r="R25" s="3"/>
      <c r="S25" s="3"/>
      <c r="T25" s="3"/>
      <c r="U25" s="3"/>
      <c r="V25" s="3"/>
      <c r="W25" s="3"/>
      <c r="X25" s="3"/>
    </row>
    <row r="26" spans="1:24" ht="15" customHeight="1" x14ac:dyDescent="0.3">
      <c r="A26" s="3"/>
      <c r="B26" s="1510">
        <v>5</v>
      </c>
      <c r="C26" s="1513" t="s">
        <v>190</v>
      </c>
      <c r="D26" s="1507">
        <v>1.0065999999999999</v>
      </c>
      <c r="E26" s="1507">
        <v>1.0221</v>
      </c>
      <c r="F26" s="1507">
        <v>0.99619999999999997</v>
      </c>
      <c r="G26" s="1507">
        <v>1.0138</v>
      </c>
      <c r="H26" s="1507">
        <v>1.0099</v>
      </c>
      <c r="I26" s="1507">
        <v>1.0237000000000001</v>
      </c>
      <c r="J26" s="1531">
        <v>1</v>
      </c>
      <c r="K26" s="1507">
        <v>1.0176000000000001</v>
      </c>
      <c r="L26" s="1504">
        <v>1.0109999999999999</v>
      </c>
      <c r="M26" s="1504">
        <v>1.0242</v>
      </c>
      <c r="N26" s="1504">
        <v>1.0018</v>
      </c>
      <c r="O26" s="1504">
        <v>1.0198</v>
      </c>
      <c r="P26" s="3"/>
      <c r="Q26" s="3"/>
      <c r="R26" s="3"/>
      <c r="S26" s="3"/>
      <c r="T26" s="3"/>
      <c r="U26" s="3"/>
      <c r="V26" s="3"/>
      <c r="W26" s="3"/>
      <c r="X26" s="3"/>
    </row>
    <row r="27" spans="1:24" ht="15" customHeight="1" x14ac:dyDescent="0.3">
      <c r="A27" s="3"/>
      <c r="B27" s="1511"/>
      <c r="C27" s="1514"/>
      <c r="D27" s="1508"/>
      <c r="E27" s="1508"/>
      <c r="F27" s="1508"/>
      <c r="G27" s="1508"/>
      <c r="H27" s="1508"/>
      <c r="I27" s="1508"/>
      <c r="J27" s="1532"/>
      <c r="K27" s="1508"/>
      <c r="L27" s="1505"/>
      <c r="M27" s="1505"/>
      <c r="N27" s="1505"/>
      <c r="O27" s="1505"/>
      <c r="P27" s="3"/>
      <c r="Q27" s="3"/>
      <c r="R27" s="3"/>
      <c r="S27" s="3"/>
      <c r="T27" s="3"/>
      <c r="U27" s="3"/>
      <c r="V27" s="3"/>
      <c r="W27" s="3"/>
      <c r="X27" s="3"/>
    </row>
    <row r="28" spans="1:24" ht="15" customHeight="1" x14ac:dyDescent="0.3">
      <c r="A28" s="3"/>
      <c r="B28" s="1511"/>
      <c r="C28" s="1514"/>
      <c r="D28" s="1508"/>
      <c r="E28" s="1508"/>
      <c r="F28" s="1508"/>
      <c r="G28" s="1508"/>
      <c r="H28" s="1508"/>
      <c r="I28" s="1508"/>
      <c r="J28" s="1532"/>
      <c r="K28" s="1508"/>
      <c r="L28" s="1505"/>
      <c r="M28" s="1505"/>
      <c r="N28" s="1505"/>
      <c r="O28" s="1505"/>
      <c r="P28" s="3"/>
      <c r="Q28" s="3"/>
      <c r="R28" s="3"/>
      <c r="S28" s="3"/>
      <c r="T28" s="3"/>
      <c r="U28" s="3"/>
      <c r="V28" s="3"/>
      <c r="W28" s="3"/>
      <c r="X28" s="3"/>
    </row>
    <row r="29" spans="1:24" ht="15" customHeight="1" x14ac:dyDescent="0.3">
      <c r="A29" s="3"/>
      <c r="B29" s="1512"/>
      <c r="C29" s="1515"/>
      <c r="D29" s="1509"/>
      <c r="E29" s="1509"/>
      <c r="F29" s="1509"/>
      <c r="G29" s="1509"/>
      <c r="H29" s="1509"/>
      <c r="I29" s="1509"/>
      <c r="J29" s="1533"/>
      <c r="K29" s="1509"/>
      <c r="L29" s="1506"/>
      <c r="M29" s="1506"/>
      <c r="N29" s="1506"/>
      <c r="O29" s="1506"/>
      <c r="P29" s="3"/>
      <c r="Q29" s="3"/>
      <c r="R29" s="3"/>
      <c r="S29" s="3"/>
      <c r="T29" s="3"/>
      <c r="U29" s="3"/>
      <c r="V29" s="3"/>
      <c r="W29" s="3"/>
      <c r="X29" s="3"/>
    </row>
    <row r="30" spans="1:24" ht="15" customHeight="1" x14ac:dyDescent="0.3">
      <c r="A30" s="3"/>
      <c r="B30" s="1510">
        <v>6</v>
      </c>
      <c r="C30" s="1513" t="s">
        <v>189</v>
      </c>
      <c r="D30" s="1507">
        <v>1.0047999999999999</v>
      </c>
      <c r="E30" s="1507">
        <v>1.0221</v>
      </c>
      <c r="F30" s="1507">
        <v>0.99670000000000003</v>
      </c>
      <c r="G30" s="1507">
        <v>1.0135000000000001</v>
      </c>
      <c r="H30" s="1507">
        <v>1.0082</v>
      </c>
      <c r="I30" s="1507">
        <v>1.0237000000000001</v>
      </c>
      <c r="J30" s="1507">
        <v>1.0006999999999999</v>
      </c>
      <c r="K30" s="1507">
        <v>1.0176000000000001</v>
      </c>
      <c r="L30" s="1504">
        <v>1.0092000000000001</v>
      </c>
      <c r="M30" s="1504">
        <v>1.0242</v>
      </c>
      <c r="N30" s="1504">
        <v>1.0024</v>
      </c>
      <c r="O30" s="1504">
        <v>1.0198</v>
      </c>
      <c r="P30" s="3"/>
      <c r="Q30" s="3"/>
      <c r="R30" s="3"/>
      <c r="S30" s="3"/>
      <c r="T30" s="3"/>
      <c r="U30" s="3"/>
      <c r="V30" s="3"/>
      <c r="W30" s="3"/>
      <c r="X30" s="3"/>
    </row>
    <row r="31" spans="1:24" ht="15" customHeight="1" x14ac:dyDescent="0.3">
      <c r="A31" s="3"/>
      <c r="B31" s="1511"/>
      <c r="C31" s="1514"/>
      <c r="D31" s="1508"/>
      <c r="E31" s="1508"/>
      <c r="F31" s="1508"/>
      <c r="G31" s="1508"/>
      <c r="H31" s="1508"/>
      <c r="I31" s="1508"/>
      <c r="J31" s="1508"/>
      <c r="K31" s="1508"/>
      <c r="L31" s="1505"/>
      <c r="M31" s="1505"/>
      <c r="N31" s="1505"/>
      <c r="O31" s="1505"/>
      <c r="P31" s="3"/>
      <c r="Q31" s="3"/>
      <c r="R31" s="3"/>
      <c r="S31" s="3"/>
      <c r="T31" s="3"/>
      <c r="U31" s="3"/>
      <c r="V31" s="3"/>
      <c r="W31" s="3"/>
      <c r="X31" s="3"/>
    </row>
    <row r="32" spans="1:24" ht="15" customHeight="1" x14ac:dyDescent="0.3">
      <c r="A32" s="3"/>
      <c r="B32" s="1511"/>
      <c r="C32" s="1514"/>
      <c r="D32" s="1508"/>
      <c r="E32" s="1508"/>
      <c r="F32" s="1508"/>
      <c r="G32" s="1508"/>
      <c r="H32" s="1508"/>
      <c r="I32" s="1508"/>
      <c r="J32" s="1508"/>
      <c r="K32" s="1508"/>
      <c r="L32" s="1505"/>
      <c r="M32" s="1505"/>
      <c r="N32" s="1505"/>
      <c r="O32" s="1505"/>
      <c r="P32" s="3"/>
      <c r="Q32" s="3"/>
      <c r="R32" s="3"/>
      <c r="S32" s="3"/>
      <c r="T32" s="3"/>
      <c r="U32" s="3"/>
      <c r="V32" s="3"/>
      <c r="W32" s="3"/>
      <c r="X32" s="3"/>
    </row>
    <row r="33" spans="1:24" ht="15" customHeight="1" x14ac:dyDescent="0.3">
      <c r="A33" s="3"/>
      <c r="B33" s="1512"/>
      <c r="C33" s="1515"/>
      <c r="D33" s="1509"/>
      <c r="E33" s="1509"/>
      <c r="F33" s="1509"/>
      <c r="G33" s="1509"/>
      <c r="H33" s="1509"/>
      <c r="I33" s="1509"/>
      <c r="J33" s="1509"/>
      <c r="K33" s="1509"/>
      <c r="L33" s="1506"/>
      <c r="M33" s="1506"/>
      <c r="N33" s="1506"/>
      <c r="O33" s="1506"/>
      <c r="P33" s="3"/>
      <c r="Q33" s="3"/>
      <c r="R33" s="3"/>
      <c r="S33" s="3"/>
      <c r="T33" s="3"/>
      <c r="U33" s="3"/>
      <c r="V33" s="3"/>
      <c r="W33" s="3"/>
      <c r="X33" s="3"/>
    </row>
    <row r="34" spans="1:24" ht="15" customHeight="1" x14ac:dyDescent="0.3">
      <c r="A34" s="3"/>
      <c r="B34" s="1510">
        <v>7</v>
      </c>
      <c r="C34" s="1513" t="s">
        <v>192</v>
      </c>
      <c r="D34" s="1507">
        <v>1.0076000000000001</v>
      </c>
      <c r="E34" s="1507">
        <v>1.0221</v>
      </c>
      <c r="F34" s="1507">
        <v>0.99960000000000004</v>
      </c>
      <c r="G34" s="1507">
        <v>1.0138</v>
      </c>
      <c r="H34" s="1507">
        <v>1.0105999999999999</v>
      </c>
      <c r="I34" s="1507">
        <v>1.0237000000000001</v>
      </c>
      <c r="J34" s="1507">
        <v>1.0022</v>
      </c>
      <c r="K34" s="1507">
        <v>1.0176000000000001</v>
      </c>
      <c r="L34" s="1504">
        <v>1.0118</v>
      </c>
      <c r="M34" s="1504">
        <v>1.0242</v>
      </c>
      <c r="N34" s="1504">
        <v>1.0038</v>
      </c>
      <c r="O34" s="1504">
        <v>1.0198</v>
      </c>
      <c r="P34" s="3"/>
      <c r="Q34" s="3"/>
      <c r="R34" s="3"/>
      <c r="S34" s="3"/>
      <c r="T34" s="3"/>
      <c r="U34" s="3"/>
      <c r="V34" s="3"/>
      <c r="W34" s="3"/>
      <c r="X34" s="3"/>
    </row>
    <row r="35" spans="1:24" ht="15" customHeight="1" x14ac:dyDescent="0.3">
      <c r="A35" s="3"/>
      <c r="B35" s="1511"/>
      <c r="C35" s="1514"/>
      <c r="D35" s="1508"/>
      <c r="E35" s="1508"/>
      <c r="F35" s="1508"/>
      <c r="G35" s="1508"/>
      <c r="H35" s="1508"/>
      <c r="I35" s="1508"/>
      <c r="J35" s="1508"/>
      <c r="K35" s="1508"/>
      <c r="L35" s="1505"/>
      <c r="M35" s="1505"/>
      <c r="N35" s="1505"/>
      <c r="O35" s="1505"/>
      <c r="P35" s="3"/>
      <c r="Q35" s="3"/>
      <c r="R35" s="3"/>
      <c r="S35" s="3"/>
      <c r="T35" s="3"/>
      <c r="U35" s="3"/>
      <c r="V35" s="3"/>
      <c r="W35" s="3"/>
      <c r="X35" s="3"/>
    </row>
    <row r="36" spans="1:24" ht="15" customHeight="1" x14ac:dyDescent="0.3">
      <c r="A36" s="3"/>
      <c r="B36" s="1511"/>
      <c r="C36" s="1514"/>
      <c r="D36" s="1508"/>
      <c r="E36" s="1508"/>
      <c r="F36" s="1508"/>
      <c r="G36" s="1508"/>
      <c r="H36" s="1508"/>
      <c r="I36" s="1508"/>
      <c r="J36" s="1508"/>
      <c r="K36" s="1508"/>
      <c r="L36" s="1505"/>
      <c r="M36" s="1505"/>
      <c r="N36" s="1505"/>
      <c r="O36" s="1505"/>
      <c r="P36" s="3"/>
      <c r="Q36" s="3"/>
      <c r="R36" s="3"/>
      <c r="S36" s="3"/>
      <c r="T36" s="3"/>
      <c r="U36" s="3"/>
      <c r="V36" s="3"/>
      <c r="W36" s="3"/>
      <c r="X36" s="3"/>
    </row>
    <row r="37" spans="1:24" ht="15" customHeight="1" x14ac:dyDescent="0.3">
      <c r="A37" s="3"/>
      <c r="B37" s="1512"/>
      <c r="C37" s="1515"/>
      <c r="D37" s="1509"/>
      <c r="E37" s="1509"/>
      <c r="F37" s="1509"/>
      <c r="G37" s="1509"/>
      <c r="H37" s="1509"/>
      <c r="I37" s="1509"/>
      <c r="J37" s="1509"/>
      <c r="K37" s="1509"/>
      <c r="L37" s="1506"/>
      <c r="M37" s="1506"/>
      <c r="N37" s="1506"/>
      <c r="O37" s="1506"/>
      <c r="P37" s="3"/>
      <c r="Q37" s="3"/>
      <c r="R37" s="3"/>
      <c r="S37" s="3"/>
      <c r="T37" s="3"/>
      <c r="U37" s="3"/>
      <c r="V37" s="3"/>
      <c r="W37" s="3"/>
      <c r="X37" s="3"/>
    </row>
    <row r="38" spans="1:24" ht="15" customHeight="1" x14ac:dyDescent="0.3">
      <c r="A38" s="3"/>
      <c r="B38" s="1510">
        <v>8</v>
      </c>
      <c r="C38" s="1513" t="s">
        <v>193</v>
      </c>
      <c r="D38" s="1507">
        <v>1.0069999999999999</v>
      </c>
      <c r="E38" s="1507">
        <v>1.0221</v>
      </c>
      <c r="F38" s="1507">
        <v>0.99829999999999997</v>
      </c>
      <c r="G38" s="1507">
        <v>1.0138</v>
      </c>
      <c r="H38" s="1507">
        <v>1.0102</v>
      </c>
      <c r="I38" s="1507">
        <v>1.0237000000000001</v>
      </c>
      <c r="J38" s="1507">
        <v>1.0012000000000001</v>
      </c>
      <c r="K38" s="1507">
        <v>1.0176000000000001</v>
      </c>
      <c r="L38" s="1504">
        <v>1.0112000000000001</v>
      </c>
      <c r="M38" s="1504">
        <v>1.0242</v>
      </c>
      <c r="N38" s="1504">
        <v>1.0031000000000001</v>
      </c>
      <c r="O38" s="1504">
        <v>1.0198</v>
      </c>
      <c r="P38" s="3"/>
      <c r="Q38" s="3"/>
      <c r="R38" s="3"/>
      <c r="S38" s="3"/>
      <c r="T38" s="3"/>
      <c r="U38" s="3"/>
      <c r="V38" s="3"/>
      <c r="W38" s="3"/>
      <c r="X38" s="3"/>
    </row>
    <row r="39" spans="1:24" ht="15" customHeight="1" x14ac:dyDescent="0.3">
      <c r="A39" s="3"/>
      <c r="B39" s="1511"/>
      <c r="C39" s="1514"/>
      <c r="D39" s="1508"/>
      <c r="E39" s="1508"/>
      <c r="F39" s="1508"/>
      <c r="G39" s="1508"/>
      <c r="H39" s="1508"/>
      <c r="I39" s="1508"/>
      <c r="J39" s="1508"/>
      <c r="K39" s="1508"/>
      <c r="L39" s="1505"/>
      <c r="M39" s="1505"/>
      <c r="N39" s="1505"/>
      <c r="O39" s="1505"/>
      <c r="P39" s="3"/>
      <c r="Q39" s="3"/>
      <c r="R39" s="3"/>
      <c r="S39" s="3"/>
      <c r="T39" s="3"/>
      <c r="U39" s="3"/>
      <c r="V39" s="3"/>
      <c r="W39" s="3"/>
      <c r="X39" s="3"/>
    </row>
    <row r="40" spans="1:24" ht="15" customHeight="1" x14ac:dyDescent="0.3">
      <c r="A40" s="3"/>
      <c r="B40" s="1511"/>
      <c r="C40" s="1514"/>
      <c r="D40" s="1508"/>
      <c r="E40" s="1508"/>
      <c r="F40" s="1508"/>
      <c r="G40" s="1508"/>
      <c r="H40" s="1508"/>
      <c r="I40" s="1508"/>
      <c r="J40" s="1508"/>
      <c r="K40" s="1508"/>
      <c r="L40" s="1505"/>
      <c r="M40" s="1505"/>
      <c r="N40" s="1505"/>
      <c r="O40" s="1505"/>
      <c r="P40" s="3"/>
      <c r="Q40" s="3"/>
      <c r="R40" s="3"/>
      <c r="S40" s="3"/>
      <c r="T40" s="3"/>
      <c r="U40" s="3"/>
      <c r="V40" s="3"/>
      <c r="W40" s="3"/>
      <c r="X40" s="3"/>
    </row>
    <row r="41" spans="1:24" ht="15" customHeight="1" x14ac:dyDescent="0.3">
      <c r="A41" s="32"/>
      <c r="B41" s="1511"/>
      <c r="C41" s="1514"/>
      <c r="D41" s="1508"/>
      <c r="E41" s="1508"/>
      <c r="F41" s="1508"/>
      <c r="G41" s="1508"/>
      <c r="H41" s="1508"/>
      <c r="I41" s="1508"/>
      <c r="J41" s="1508"/>
      <c r="K41" s="1508"/>
      <c r="L41" s="1505"/>
      <c r="M41" s="1505"/>
      <c r="N41" s="1505"/>
      <c r="O41" s="1505"/>
      <c r="P41" s="886"/>
      <c r="Q41" s="79"/>
      <c r="R41" s="79"/>
      <c r="S41" s="79"/>
      <c r="T41" s="79"/>
      <c r="U41" s="79"/>
      <c r="V41" s="79"/>
      <c r="W41" s="79"/>
      <c r="X41" s="79"/>
    </row>
    <row r="42" spans="1:24" ht="30" customHeight="1" x14ac:dyDescent="0.3">
      <c r="A42" s="15"/>
      <c r="B42" s="258"/>
      <c r="C42" s="258"/>
      <c r="D42" s="258"/>
      <c r="E42" s="258"/>
      <c r="F42" s="258"/>
      <c r="G42" s="258"/>
      <c r="H42" s="258"/>
      <c r="I42" s="258"/>
      <c r="J42" s="258"/>
      <c r="K42" s="258"/>
      <c r="L42" s="258"/>
      <c r="M42" s="258"/>
      <c r="N42" s="258"/>
      <c r="O42" s="258"/>
      <c r="P42" s="15"/>
      <c r="Q42" s="15"/>
      <c r="R42" s="15"/>
      <c r="S42" s="15"/>
      <c r="T42" s="15"/>
      <c r="U42" s="15"/>
      <c r="V42" s="15"/>
      <c r="W42" s="15"/>
      <c r="X42" s="15"/>
    </row>
    <row r="43" spans="1:24" ht="15" customHeight="1" x14ac:dyDescent="0.3">
      <c r="A43" s="1"/>
      <c r="B43" s="1"/>
      <c r="C43" s="1"/>
      <c r="D43" s="1"/>
      <c r="E43" s="1"/>
      <c r="F43" s="1"/>
      <c r="G43" s="1"/>
      <c r="H43" s="1"/>
      <c r="I43" s="1"/>
      <c r="J43" s="1"/>
      <c r="K43" s="1"/>
      <c r="L43" s="1"/>
      <c r="M43" s="1"/>
      <c r="N43" s="1"/>
      <c r="O43" s="1"/>
      <c r="P43" s="1"/>
      <c r="Q43" s="1"/>
      <c r="R43" s="1"/>
      <c r="S43" s="1"/>
      <c r="T43" s="1"/>
      <c r="U43" s="1"/>
      <c r="V43" s="1"/>
      <c r="W43" s="1"/>
      <c r="X43" s="1"/>
    </row>
    <row r="44" spans="1:24" ht="15" customHeight="1" x14ac:dyDescent="0.3">
      <c r="A44" s="3"/>
      <c r="B44" s="1520" t="s">
        <v>198</v>
      </c>
      <c r="C44" s="1520"/>
      <c r="D44" s="1520"/>
      <c r="E44" s="1520"/>
      <c r="F44" s="1520"/>
      <c r="G44" s="1520"/>
      <c r="H44" s="1520"/>
      <c r="I44" s="1520"/>
      <c r="J44" s="79"/>
      <c r="K44" s="79"/>
      <c r="L44" s="79"/>
      <c r="M44" s="79"/>
      <c r="N44" s="79"/>
      <c r="O44" s="79"/>
      <c r="P44" s="79"/>
      <c r="Q44" s="3"/>
      <c r="R44" s="3"/>
      <c r="S44" s="3"/>
      <c r="T44" s="3"/>
      <c r="U44" s="3"/>
      <c r="V44" s="3"/>
      <c r="W44" s="3"/>
      <c r="X44" s="3"/>
    </row>
    <row r="45" spans="1:24" ht="15" customHeight="1" x14ac:dyDescent="0.3">
      <c r="A45" s="3"/>
      <c r="B45" s="1521" t="s">
        <v>194</v>
      </c>
      <c r="C45" s="1522"/>
      <c r="D45" s="1512" t="s">
        <v>205</v>
      </c>
      <c r="E45" s="1512"/>
      <c r="F45" s="1512" t="s">
        <v>206</v>
      </c>
      <c r="G45" s="1512"/>
      <c r="H45" s="1512" t="s">
        <v>207</v>
      </c>
      <c r="I45" s="1512"/>
      <c r="J45" s="79"/>
      <c r="K45" s="79"/>
      <c r="L45" s="79"/>
      <c r="M45" s="79"/>
      <c r="N45" s="79"/>
      <c r="O45" s="79"/>
      <c r="P45" s="79"/>
      <c r="Q45" s="3"/>
      <c r="R45" s="3"/>
      <c r="S45" s="3"/>
      <c r="T45" s="3"/>
      <c r="U45" s="3"/>
      <c r="V45" s="3"/>
      <c r="W45" s="3"/>
      <c r="X45" s="3"/>
    </row>
    <row r="46" spans="1:24" ht="15" customHeight="1" x14ac:dyDescent="0.3">
      <c r="A46" s="3"/>
      <c r="B46" s="1521"/>
      <c r="C46" s="1522"/>
      <c r="D46" s="1525" t="s">
        <v>208</v>
      </c>
      <c r="E46" s="1525" t="s">
        <v>209</v>
      </c>
      <c r="F46" s="1525" t="s">
        <v>208</v>
      </c>
      <c r="G46" s="1525" t="s">
        <v>209</v>
      </c>
      <c r="H46" s="1525" t="s">
        <v>208</v>
      </c>
      <c r="I46" s="1525" t="s">
        <v>209</v>
      </c>
      <c r="J46" s="79"/>
      <c r="K46" s="3"/>
      <c r="L46" s="3"/>
      <c r="M46" s="3"/>
      <c r="N46" s="3"/>
      <c r="O46" s="1530" t="s">
        <v>199</v>
      </c>
      <c r="P46" s="1530"/>
      <c r="Q46" s="1528" t="s">
        <v>200</v>
      </c>
      <c r="R46" s="1528" t="s">
        <v>201</v>
      </c>
      <c r="S46" s="1528" t="s">
        <v>202</v>
      </c>
      <c r="T46" s="1528" t="s">
        <v>203</v>
      </c>
      <c r="U46" s="1528" t="s">
        <v>204</v>
      </c>
      <c r="V46" s="3"/>
      <c r="W46" s="3"/>
      <c r="X46" s="3"/>
    </row>
    <row r="47" spans="1:24" ht="15" customHeight="1" x14ac:dyDescent="0.3">
      <c r="A47" s="3"/>
      <c r="B47" s="1523"/>
      <c r="C47" s="1524"/>
      <c r="D47" s="1526"/>
      <c r="E47" s="1526"/>
      <c r="F47" s="1526"/>
      <c r="G47" s="1526"/>
      <c r="H47" s="1526"/>
      <c r="I47" s="1526"/>
      <c r="J47" s="79"/>
      <c r="K47" s="3"/>
      <c r="L47" s="3"/>
      <c r="M47" s="3"/>
      <c r="N47" s="3"/>
      <c r="O47" s="1530"/>
      <c r="P47" s="1530"/>
      <c r="Q47" s="1528"/>
      <c r="R47" s="1528"/>
      <c r="S47" s="1528"/>
      <c r="T47" s="1528"/>
      <c r="U47" s="1528"/>
      <c r="V47" s="3"/>
      <c r="W47" s="3"/>
      <c r="X47" s="3"/>
    </row>
    <row r="48" spans="1:24" ht="15" customHeight="1" x14ac:dyDescent="0.3">
      <c r="A48" s="3"/>
      <c r="B48" s="1529">
        <v>1</v>
      </c>
      <c r="C48" s="235" t="s">
        <v>2</v>
      </c>
      <c r="D48" s="236"/>
      <c r="E48" s="235"/>
      <c r="F48" s="237"/>
      <c r="G48" s="238"/>
      <c r="H48" s="239"/>
      <c r="I48" s="238"/>
      <c r="J48" s="79"/>
      <c r="K48" s="3"/>
      <c r="L48" s="3"/>
      <c r="M48" s="3"/>
      <c r="N48" s="3"/>
      <c r="O48" s="933" t="s">
        <v>28</v>
      </c>
      <c r="P48" s="933"/>
      <c r="Q48" s="253">
        <v>0.82969999999999999</v>
      </c>
      <c r="R48" s="253">
        <v>8.8099999999999998E-2</v>
      </c>
      <c r="S48" s="253">
        <v>2.9899999999999999E-2</v>
      </c>
      <c r="T48" s="253">
        <v>4.7699999999999999E-2</v>
      </c>
      <c r="U48" s="253">
        <v>6.4999999999999997E-3</v>
      </c>
      <c r="V48" s="3"/>
      <c r="W48" s="3"/>
      <c r="X48" s="3"/>
    </row>
    <row r="49" spans="1:24" ht="15" customHeight="1" x14ac:dyDescent="0.3">
      <c r="A49" s="79"/>
      <c r="B49" s="1521"/>
      <c r="C49" s="240" t="s">
        <v>28</v>
      </c>
      <c r="D49" s="241">
        <f>SUM(((Q48*D10)+(R48*D10))+((S48*E10)+(T48*E10)+(U48*E10)))</f>
        <v>1.0119270299999998</v>
      </c>
      <c r="E49" s="242">
        <f>SUM(((Q48*F10)+(R48*F10))+((S48*G10)+(T48*G10)+(U48*G10)))</f>
        <v>1.0034276999999998</v>
      </c>
      <c r="F49" s="241">
        <f>SUM(((Q48*H10)+(R48*H10))+((S48*I10)+(T48*I10)+(U48*I10)))</f>
        <v>1.0161916900000001</v>
      </c>
      <c r="G49" s="242">
        <f>SUM(((Q48*J10)+(R48*J10))+((S48*K10)+(T48*K10)+(U48*K10)))</f>
        <v>1.0068678</v>
      </c>
      <c r="H49" s="241">
        <f>SUM(((Q48*L10)+(R48*L10))+((S48*M10)+(T48*M10)+(U48*M10)))</f>
        <v>1.0176104399999999</v>
      </c>
      <c r="I49" s="242">
        <f>SUM(((Q48*N10)+(R48*N10))+((S48*O10)+(T48*O10)+(U48*O10)))</f>
        <v>1.0085213000000002</v>
      </c>
      <c r="J49" s="79"/>
      <c r="K49" s="3"/>
      <c r="L49" s="3"/>
      <c r="M49" s="3"/>
      <c r="N49" s="3"/>
      <c r="O49" s="933" t="s">
        <v>210</v>
      </c>
      <c r="P49" s="933"/>
      <c r="Q49" s="253">
        <v>0.85650000000000004</v>
      </c>
      <c r="R49" s="253">
        <v>8.2799999999999999E-2</v>
      </c>
      <c r="S49" s="253">
        <v>2.5000000000000001E-2</v>
      </c>
      <c r="T49" s="253">
        <v>2.9700000000000001E-2</v>
      </c>
      <c r="U49" s="253">
        <v>5.8999999999999999E-3</v>
      </c>
      <c r="V49" s="3"/>
      <c r="W49" s="3"/>
      <c r="X49" s="3"/>
    </row>
    <row r="50" spans="1:24" ht="15" customHeight="1" x14ac:dyDescent="0.3">
      <c r="A50" s="79"/>
      <c r="B50" s="1521"/>
      <c r="C50" s="240" t="s">
        <v>210</v>
      </c>
      <c r="D50" s="241">
        <f>SUM(((Q49*D10)+(R49*D10))+((S49*E10)+(T49*E10)+(U49*E10)))</f>
        <v>1.00959903</v>
      </c>
      <c r="E50" s="242">
        <f>SUM(((Q49*F10)+(R49*F10))+((S49*G10)+(T49*G10)+(U49*G10)))</f>
        <v>1.001112</v>
      </c>
      <c r="F50" s="241">
        <f>SUM(((Q49*H10)+(R49*H10))+((S49*I10)+(T49*I10)+(U49*I10)))</f>
        <v>1.01392284</v>
      </c>
      <c r="G50" s="242">
        <f>SUM(((Q49*J10)+(R49*J10))+((S49*K10)+(T49*K10)+(U49*K10)))</f>
        <v>1.0045359</v>
      </c>
      <c r="H50" s="241">
        <f>SUM(((Q49*L10)+(R49*L10))+((S49*M10)+(T49*M10)+(U49*M10)))</f>
        <v>1.01536209</v>
      </c>
      <c r="I50" s="242">
        <f>SUM(((Q49*N10)+(R49*N10))+((S49*O10)+(T49*O10)+(U49*O10)))</f>
        <v>1.0061721000000001</v>
      </c>
      <c r="J50" s="79"/>
      <c r="K50" s="3"/>
      <c r="L50" s="3"/>
      <c r="M50" s="3"/>
      <c r="N50" s="3"/>
      <c r="O50" s="933" t="s">
        <v>211</v>
      </c>
      <c r="P50" s="933"/>
      <c r="Q50" s="253">
        <v>0.85670000000000002</v>
      </c>
      <c r="R50" s="253">
        <v>8.4599999999999995E-2</v>
      </c>
      <c r="S50" s="253">
        <v>3.1600000000000003E-2</v>
      </c>
      <c r="T50" s="253">
        <v>2.3400000000000001E-2</v>
      </c>
      <c r="U50" s="253">
        <v>3.5999999999999999E-3</v>
      </c>
      <c r="V50" s="3"/>
      <c r="W50" s="3"/>
      <c r="X50" s="3"/>
    </row>
    <row r="51" spans="1:24" ht="15" customHeight="1" x14ac:dyDescent="0.3">
      <c r="A51" s="79"/>
      <c r="B51" s="1523"/>
      <c r="C51" s="243" t="s">
        <v>211</v>
      </c>
      <c r="D51" s="241">
        <f>SUM(((Q50*D10)+(R50*D10))+((S50*E10)+(T50*E10)+(U50*E10)))</f>
        <v>1.0095726300000001</v>
      </c>
      <c r="E51" s="242">
        <f>SUM(((Q50*F10)+(R50*F10))+((S50*G10)+(T50*G10)+(U50*G10)))</f>
        <v>1.0010851999999999</v>
      </c>
      <c r="F51" s="241">
        <f>SUM(((Q50*H10)+(R50*H10))+((S50*I10)+(T50*I10)+(U50*I10)))</f>
        <v>1.0139022400000002</v>
      </c>
      <c r="G51" s="242">
        <f>SUM(((Q50*J10)+(R50*J10))+((S50*K10)+(T50*K10)+(U50*K10)))</f>
        <v>1.0045082999999999</v>
      </c>
      <c r="H51" s="241">
        <f>SUM(((Q50*L10)+(R50*L10))+((S50*M10)+(T50*M10)+(U50*M10)))</f>
        <v>1.01534349</v>
      </c>
      <c r="I51" s="242">
        <f>SUM(((Q50*N10)+(R50*N10))+((S50*O10)+(T50*O10)+(U50*O10)))</f>
        <v>1.0061433000000002</v>
      </c>
      <c r="J51" s="79"/>
      <c r="K51" s="79"/>
      <c r="L51" s="79"/>
      <c r="M51" s="79"/>
      <c r="N51" s="79"/>
      <c r="O51" s="79"/>
      <c r="P51" s="79"/>
      <c r="Q51" s="79"/>
      <c r="R51" s="79"/>
      <c r="S51" s="79"/>
      <c r="T51" s="79"/>
      <c r="U51" s="79"/>
      <c r="V51" s="3"/>
      <c r="W51" s="3"/>
      <c r="X51" s="3"/>
    </row>
    <row r="52" spans="1:24" ht="15" customHeight="1" x14ac:dyDescent="0.3">
      <c r="A52" s="79"/>
      <c r="B52" s="1510">
        <v>2</v>
      </c>
      <c r="C52" s="244" t="s">
        <v>212</v>
      </c>
      <c r="D52" s="236"/>
      <c r="E52" s="235"/>
      <c r="F52" s="245"/>
      <c r="G52" s="246"/>
      <c r="H52" s="236"/>
      <c r="I52" s="235"/>
      <c r="J52" s="79"/>
      <c r="K52" s="79"/>
      <c r="L52" s="79"/>
      <c r="M52" s="79"/>
      <c r="N52" s="79"/>
      <c r="O52" s="79"/>
      <c r="P52" s="79"/>
      <c r="Q52" s="79"/>
      <c r="R52" s="79"/>
      <c r="S52" s="79"/>
      <c r="T52" s="79"/>
      <c r="U52" s="79"/>
      <c r="V52" s="3"/>
      <c r="W52" s="3"/>
      <c r="X52" s="3"/>
    </row>
    <row r="53" spans="1:24" ht="15" customHeight="1" x14ac:dyDescent="0.3">
      <c r="A53" s="79"/>
      <c r="B53" s="1511"/>
      <c r="C53" s="247" t="s">
        <v>28</v>
      </c>
      <c r="D53" s="241">
        <f>SUM(((Q48*D14)+(R48*D14))+((S48*E14)+(T48*E14)+(U48*E14)))</f>
        <v>1.01376263</v>
      </c>
      <c r="E53" s="242">
        <f>SUM(((Q48*F14)+(R48*F14))+((S48*G14)+(T48*G14)+(U48*G14)))</f>
        <v>1.0047126200000001</v>
      </c>
      <c r="F53" s="248">
        <f>SUM(((Q48*H14)+(R48*H14))+((S48*I14)+(T48*I14)+(U48*I14)))</f>
        <v>1.01674237</v>
      </c>
      <c r="G53" s="249">
        <f>SUM(((Q48*J14)+(R48*J14))+((S48*K14)+(T48*K14)+(U48*K14)))</f>
        <v>1.0077855999999998</v>
      </c>
      <c r="H53" s="241">
        <f>SUM(((Q48*L14)+(R48*L14))+((S48*M14)+(T48*M14)+(U48*M14)))</f>
        <v>1.01806934</v>
      </c>
      <c r="I53" s="242">
        <f>SUM(((Q48*N14)+(R48*N14))+((S48*O14)+(T48*O14)+(U48*O14)))</f>
        <v>1.0085213000000002</v>
      </c>
      <c r="J53" s="79"/>
      <c r="K53" s="79"/>
      <c r="L53" s="79"/>
      <c r="M53" s="79"/>
      <c r="N53" s="79"/>
      <c r="O53" s="79"/>
      <c r="P53" s="79"/>
      <c r="Q53" s="79"/>
      <c r="R53" s="79"/>
      <c r="S53" s="79"/>
      <c r="T53" s="79"/>
      <c r="U53" s="79"/>
      <c r="V53" s="3"/>
      <c r="W53" s="3"/>
      <c r="X53" s="3"/>
    </row>
    <row r="54" spans="1:24" ht="15" customHeight="1" x14ac:dyDescent="0.3">
      <c r="A54" s="79"/>
      <c r="B54" s="1511"/>
      <c r="C54" s="247" t="s">
        <v>210</v>
      </c>
      <c r="D54" s="241">
        <f>SUM(((Q49*D14)+(R49*D14))+((S49*E14)+(T49*E14)+(U49*E14)))</f>
        <v>1.0114776299999999</v>
      </c>
      <c r="E54" s="242">
        <f>SUM(((Q49*F14)+(R49*F14))+((S49*G14)+(T49*G14)+(U49*G14)))</f>
        <v>1.0024270200000001</v>
      </c>
      <c r="F54" s="248">
        <f>SUM(((Q49*H14)+(R49*H14))+((S49*I14)+(T49*I14)+(U49*I14)))</f>
        <v>1.0144864200000001</v>
      </c>
      <c r="G54" s="249">
        <f>SUM(((Q49*J14)+(R49*J14))+((S49*K14)+(T49*K14)+(U49*K14)))</f>
        <v>1.0054752</v>
      </c>
      <c r="H54" s="241">
        <f>SUM(((Q49*L14)+(R49*L14))+((S49*M14)+(T49*M14)+(U49*M14)))</f>
        <v>1.0158317400000001</v>
      </c>
      <c r="I54" s="242">
        <f>SUM(((Q49*N14)+(R49*N14))+((S49*O14)+(T49*O14)+(U49*O14)))</f>
        <v>1.0061721000000001</v>
      </c>
      <c r="J54" s="79"/>
      <c r="K54" s="79"/>
      <c r="L54" s="79"/>
      <c r="M54" s="79"/>
      <c r="N54" s="79"/>
      <c r="O54" s="79"/>
      <c r="P54" s="79"/>
      <c r="Q54" s="79"/>
      <c r="R54" s="79"/>
      <c r="S54" s="79"/>
      <c r="T54" s="79"/>
      <c r="U54" s="79"/>
      <c r="V54" s="3"/>
      <c r="W54" s="3"/>
      <c r="X54" s="3"/>
    </row>
    <row r="55" spans="1:24" ht="15" customHeight="1" x14ac:dyDescent="0.3">
      <c r="A55" s="79"/>
      <c r="B55" s="1512"/>
      <c r="C55" s="250" t="s">
        <v>211</v>
      </c>
      <c r="D55" s="241">
        <f>SUM(((Q50*D14)+(R50*D14))+((S50*E14)+(T50*E14)+(U50*E14)))</f>
        <v>1.0114552299999999</v>
      </c>
      <c r="E55" s="242">
        <f>SUM(((Q50*F14)+(R50*F14))+((S50*G14)+(T50*G14)+(U50*G14)))</f>
        <v>1.00240302</v>
      </c>
      <c r="F55" s="248">
        <f>SUM(((Q50*H14)+(R50*H14))+((S50*I14)+(T50*I14)+(U50*I14)))</f>
        <v>1.0144670200000001</v>
      </c>
      <c r="G55" s="249">
        <f>SUM(((Q50*J14)+(R50*J14))+((S50*K14)+(T50*K14)+(U50*K14)))</f>
        <v>1.0054495999999999</v>
      </c>
      <c r="H55" s="241">
        <f>SUM(((Q50*L14)+(R50*L14))+((S50*M14)+(T50*M14)+(U50*M14)))</f>
        <v>1.01581414</v>
      </c>
      <c r="I55" s="242">
        <f>SUM(((Q50*N14)+(R50*N14))+((S50*O14)+(T50*O14)+(U50*O14)))</f>
        <v>1.0061433000000002</v>
      </c>
      <c r="J55" s="79"/>
      <c r="K55" s="79"/>
      <c r="L55" s="79"/>
      <c r="M55" s="79"/>
      <c r="N55" s="79"/>
      <c r="O55" s="79"/>
      <c r="P55" s="79"/>
      <c r="Q55" s="3"/>
      <c r="R55" s="3"/>
      <c r="S55" s="3"/>
      <c r="T55" s="3"/>
      <c r="U55" s="3"/>
      <c r="V55" s="3"/>
      <c r="W55" s="3"/>
      <c r="X55" s="3"/>
    </row>
    <row r="56" spans="1:24" ht="15" customHeight="1" x14ac:dyDescent="0.3">
      <c r="A56" s="79"/>
      <c r="B56" s="1510">
        <v>3</v>
      </c>
      <c r="C56" s="235" t="s">
        <v>191</v>
      </c>
      <c r="D56" s="236"/>
      <c r="E56" s="235"/>
      <c r="F56" s="245"/>
      <c r="G56" s="246"/>
      <c r="H56" s="236"/>
      <c r="I56" s="235"/>
      <c r="J56" s="79"/>
      <c r="K56" s="79"/>
      <c r="L56" s="79"/>
      <c r="M56" s="79"/>
      <c r="N56" s="79"/>
      <c r="O56" s="79"/>
      <c r="P56" s="79"/>
      <c r="Q56" s="79"/>
      <c r="R56" s="79"/>
      <c r="S56" s="79"/>
      <c r="T56" s="79"/>
      <c r="U56" s="79"/>
      <c r="V56" s="3"/>
      <c r="W56" s="3"/>
      <c r="X56" s="3"/>
    </row>
    <row r="57" spans="1:24" ht="15" customHeight="1" x14ac:dyDescent="0.3">
      <c r="A57" s="79"/>
      <c r="B57" s="1511"/>
      <c r="C57" s="240" t="s">
        <v>28</v>
      </c>
      <c r="D57" s="241">
        <f>SUM(((Q48*D18)+(R48*D18))+((S48*E18)+(T48*E18)+(U48*E18)))</f>
        <v>1.0118352499999999</v>
      </c>
      <c r="E57" s="242">
        <f>SUM(((Q48*F18)+(R48*F18))+((S48*G18)+(T48*G18)+(U48*G18)))</f>
        <v>1.0027852400000001</v>
      </c>
      <c r="F57" s="241">
        <f>SUM(((Q48*H18)+(R48*H18))+((S48*I18)+(T48*I18)+(U48*I18)))</f>
        <v>1.0149067700000001</v>
      </c>
      <c r="G57" s="242">
        <f>SUM(((Q48*J18)+(R48*J18))+((S48*K18)+(T48*K18)+(U48*K18)))</f>
        <v>1.0061335599999999</v>
      </c>
      <c r="H57" s="241">
        <f>SUM(((Q48*L18)+(R48*L18))+((S48*M18)+(T48*M18)+(U48*M18)))</f>
        <v>1.0159583999999999</v>
      </c>
      <c r="I57" s="242">
        <f>SUM(((Q48*N18)+(R48*N18))+((S48*O18)+(T48*O18)+(U48*O18)))</f>
        <v>1.00521722</v>
      </c>
      <c r="J57" s="79"/>
      <c r="K57" s="79"/>
      <c r="L57" s="79"/>
      <c r="M57" s="79"/>
      <c r="N57" s="79"/>
      <c r="O57" s="79"/>
      <c r="P57" s="79"/>
      <c r="Q57" s="79"/>
      <c r="R57" s="79"/>
      <c r="S57" s="79"/>
      <c r="T57" s="79"/>
      <c r="U57" s="79"/>
      <c r="V57" s="3"/>
      <c r="W57" s="3"/>
      <c r="X57" s="3"/>
    </row>
    <row r="58" spans="1:24" ht="15" customHeight="1" x14ac:dyDescent="0.3">
      <c r="A58" s="79"/>
      <c r="B58" s="1511"/>
      <c r="C58" s="240" t="s">
        <v>210</v>
      </c>
      <c r="D58" s="241">
        <f>SUM(((Q49*D18)+(R49*D18))+((S49*E18)+(T49*E18)+(U49*E18)))</f>
        <v>1.0095050999999999</v>
      </c>
      <c r="E58" s="242">
        <f>SUM(((Q49*F18)+(R49*F18))+((S49*G18)+(T49*G18)+(U49*G18)))</f>
        <v>1.0004544900000001</v>
      </c>
      <c r="F58" s="241">
        <f>SUM(((Q49*H18)+(R49*H18))+((S49*I18)+(T49*I18)+(U49*I18)))</f>
        <v>1.0126078200000002</v>
      </c>
      <c r="G58" s="242">
        <f>SUM(((Q49*J18)+(R49*J18))+((S49*K18)+(T49*K18)+(U49*K18)))</f>
        <v>1.0037844599999999</v>
      </c>
      <c r="H58" s="241">
        <f>SUM(((Q49*L18)+(R49*L18))+((S49*M18)+(T49*M18)+(U49*M18)))</f>
        <v>1.0136713499999999</v>
      </c>
      <c r="I58" s="242">
        <f>SUM(((Q49*N18)+(R49*N18))+((S49*O18)+(T49*O18)+(U49*O18)))</f>
        <v>1.0027906200000001</v>
      </c>
      <c r="J58" s="79"/>
      <c r="K58" s="79"/>
      <c r="L58" s="79"/>
      <c r="M58" s="79"/>
      <c r="N58" s="79"/>
      <c r="O58" s="79"/>
      <c r="P58" s="79"/>
      <c r="Q58" s="79"/>
      <c r="R58" s="79"/>
      <c r="S58" s="79"/>
      <c r="T58" s="79"/>
      <c r="U58" s="79"/>
      <c r="V58" s="3"/>
      <c r="W58" s="3"/>
      <c r="X58" s="3"/>
    </row>
    <row r="59" spans="1:24" ht="15" customHeight="1" x14ac:dyDescent="0.3">
      <c r="A59" s="79"/>
      <c r="B59" s="1512"/>
      <c r="C59" s="243" t="s">
        <v>211</v>
      </c>
      <c r="D59" s="241">
        <f>SUM(((Q50*D18)+(R50*D18))+((S50*E18)+(T50*E18)+(U50*E18)))</f>
        <v>1.0094784999999999</v>
      </c>
      <c r="E59" s="242">
        <f>SUM(((Q50*F18)+(R50*F18))+((S50*G18)+(T50*G18)+(U50*G18)))</f>
        <v>1.0004262900000001</v>
      </c>
      <c r="F59" s="251">
        <f>SUM(((Q50*H18)+(R50*H18))+((S50*I18)+(T50*I18)+(U50*I18)))</f>
        <v>1.01258442</v>
      </c>
      <c r="G59" s="252">
        <f>SUM(((Q50*J18)+(R50*J18))+((S50*K18)+(T50*K18)+(U50*K18)))</f>
        <v>1.0037552599999999</v>
      </c>
      <c r="H59" s="241">
        <f>SUM(((Q50*L18)+(R50*L18))+((S50*M18)+(T50*M18)+(U50*M18)))</f>
        <v>1.01364915</v>
      </c>
      <c r="I59" s="242">
        <f>SUM(((Q50*N18)+(R50*N18))+((S50*O18)+(T50*O18)+(U50*O18)))</f>
        <v>1.0027546200000002</v>
      </c>
      <c r="J59" s="79"/>
      <c r="K59" s="79"/>
      <c r="L59" s="79"/>
      <c r="M59" s="79"/>
      <c r="N59" s="79"/>
      <c r="O59" s="79"/>
      <c r="P59" s="79"/>
      <c r="Q59" s="79"/>
      <c r="R59" s="79"/>
      <c r="S59" s="79"/>
      <c r="T59" s="79"/>
      <c r="U59" s="79"/>
      <c r="V59" s="3"/>
      <c r="W59" s="3"/>
      <c r="X59" s="3"/>
    </row>
    <row r="60" spans="1:24" ht="15" customHeight="1" x14ac:dyDescent="0.3">
      <c r="A60" s="79"/>
      <c r="B60" s="1510">
        <v>4</v>
      </c>
      <c r="C60" s="235" t="s">
        <v>188</v>
      </c>
      <c r="D60" s="236"/>
      <c r="E60" s="235"/>
      <c r="F60" s="241"/>
      <c r="G60" s="242"/>
      <c r="H60" s="236"/>
      <c r="I60" s="235"/>
      <c r="J60" s="79"/>
      <c r="K60" s="79"/>
      <c r="L60" s="79"/>
      <c r="M60" s="79"/>
      <c r="N60" s="79"/>
      <c r="O60" s="79"/>
      <c r="P60" s="79"/>
      <c r="Q60" s="79"/>
      <c r="R60" s="79"/>
      <c r="S60" s="79"/>
      <c r="T60" s="79"/>
      <c r="U60" s="79"/>
      <c r="V60" s="3"/>
      <c r="W60" s="3"/>
      <c r="X60" s="3"/>
    </row>
    <row r="61" spans="1:24" ht="15" customHeight="1" x14ac:dyDescent="0.3">
      <c r="A61" s="79"/>
      <c r="B61" s="1511"/>
      <c r="C61" s="240" t="s">
        <v>28</v>
      </c>
      <c r="D61" s="241">
        <f>SUM(((Q48*D22)+(R48*D22))+((S48*E22)+(T48*E22)+(U48*E22)))</f>
        <v>1.0112845699999999</v>
      </c>
      <c r="E61" s="242">
        <f>SUM(((Q48*F22)+(R48*F22))+((S48*G22)+(T48*G22)+(U48*G22)))</f>
        <v>1.0028770199999999</v>
      </c>
      <c r="F61" s="241">
        <f>SUM(((Q48*H22)+(R48*H22))+((S48*I22)+(T48*I22)+(U48*I22)))</f>
        <v>1.0143560900000002</v>
      </c>
      <c r="G61" s="242">
        <f>SUM(((Q48*J22)+(R48*J22))+((S48*K22)+(T48*K22)+(U48*K22)))</f>
        <v>1.0061335599999999</v>
      </c>
      <c r="H61" s="241">
        <f>SUM(((Q48*L22)+(R48*L22))+((S48*M22)+(T48*M22)+(U48*M22)))</f>
        <v>1.01531594</v>
      </c>
      <c r="I61" s="242">
        <f>SUM(((Q48*N22)+(R48*N22))+((S48*O22)+(T48*O22)+(U48*O22)))</f>
        <v>1.0076035000000001</v>
      </c>
      <c r="J61" s="79"/>
      <c r="K61" s="79"/>
      <c r="L61" s="79"/>
      <c r="M61" s="79"/>
      <c r="N61" s="79"/>
      <c r="O61" s="79"/>
      <c r="P61" s="79"/>
      <c r="Q61" s="79"/>
      <c r="R61" s="79"/>
      <c r="S61" s="79"/>
      <c r="T61" s="79"/>
      <c r="U61" s="79"/>
      <c r="V61" s="3"/>
      <c r="W61" s="3"/>
      <c r="X61" s="3"/>
    </row>
    <row r="62" spans="1:24" ht="15" customHeight="1" x14ac:dyDescent="0.3">
      <c r="A62" s="79"/>
      <c r="B62" s="1511"/>
      <c r="C62" s="240" t="s">
        <v>210</v>
      </c>
      <c r="D62" s="241">
        <f>SUM(((Q50*D22)+(R50*D22))+((S50*E22)+(T50*E22)+(U50*E22)))</f>
        <v>1.00891372</v>
      </c>
      <c r="E62" s="242">
        <f>SUM(((Q49*F22)+(R49*F22))+((S49*G22)+(T49*G22)+(U49*G22)))</f>
        <v>1.0005484200000001</v>
      </c>
      <c r="F62" s="241">
        <f>SUM(((Q49*H22)+(R49*H22))+((S49*I22)+(T49*I22)+(U49*I22)))</f>
        <v>1.01204424</v>
      </c>
      <c r="G62" s="242">
        <f>SUM(((Q49*J22)+(R49*J22))+((S49*K22)+(T49*K22)+(U49*K22)))</f>
        <v>1.0037844599999999</v>
      </c>
      <c r="H62" s="241">
        <f>SUM(((Q49*L22)+(R49*L22))+((S49*M22)+(T49*M22)+(U49*M22)))</f>
        <v>1.0130138399999999</v>
      </c>
      <c r="I62" s="242">
        <f>SUM(((Q49*N22)+(R49*N22))+((S49*O22)+(T49*O22)+(U49*O22)))</f>
        <v>1.0052327999999999</v>
      </c>
      <c r="J62" s="79"/>
      <c r="K62" s="79"/>
      <c r="L62" s="79"/>
      <c r="M62" s="79"/>
      <c r="N62" s="79"/>
      <c r="O62" s="79"/>
      <c r="P62" s="79"/>
      <c r="Q62" s="79"/>
      <c r="R62" s="79"/>
      <c r="S62" s="79"/>
      <c r="T62" s="79"/>
      <c r="U62" s="79"/>
      <c r="V62" s="3"/>
      <c r="W62" s="3"/>
      <c r="X62" s="3"/>
    </row>
    <row r="63" spans="1:24" ht="15" customHeight="1" x14ac:dyDescent="0.3">
      <c r="A63" s="79"/>
      <c r="B63" s="1512"/>
      <c r="C63" s="243" t="s">
        <v>211</v>
      </c>
      <c r="D63" s="241">
        <f>SUM(((Q50*D22)+(R50*D22))+((S50*E22)+(T50*E22)+(U50*E22)))</f>
        <v>1.00891372</v>
      </c>
      <c r="E63" s="242">
        <f>SUM(((Q50*F22)+(R50*F22))+((S50*G22)+(T50*G22)+(U50*G22)))</f>
        <v>1.0005204200000002</v>
      </c>
      <c r="F63" s="241">
        <f>SUM(((Q50*H22)+(R50*H22))+((S50*I22)+(T50*I22)+(U50*I22)))</f>
        <v>1.0120196400000001</v>
      </c>
      <c r="G63" s="242">
        <f>SUM(((Q50*J22)+(R50*J22))+((S50*K22)+(T50*K22)+(U50*K22)))</f>
        <v>1.0037552599999999</v>
      </c>
      <c r="H63" s="241">
        <f>SUM(((Q50*L22)+(R50*L22))+((S50*M22)+(T50*M22)+(U50*M22)))</f>
        <v>1.0129902399999999</v>
      </c>
      <c r="I63" s="242">
        <f>SUM(((Q50*N22)+(R50*N22))+((S50*O22)+(T50*O22)+(U50*O22)))</f>
        <v>1.0052020000000002</v>
      </c>
      <c r="J63" s="79"/>
      <c r="K63" s="79"/>
      <c r="L63" s="79"/>
      <c r="M63" s="79"/>
      <c r="N63" s="79"/>
      <c r="O63" s="79"/>
      <c r="P63" s="79"/>
      <c r="Q63" s="79"/>
      <c r="R63" s="79"/>
      <c r="S63" s="79"/>
      <c r="T63" s="79"/>
      <c r="U63" s="79"/>
      <c r="V63" s="3"/>
      <c r="W63" s="3"/>
      <c r="X63" s="3"/>
    </row>
    <row r="64" spans="1:24" ht="15" customHeight="1" x14ac:dyDescent="0.3">
      <c r="A64" s="79"/>
      <c r="B64" s="1510">
        <v>5</v>
      </c>
      <c r="C64" s="235" t="s">
        <v>190</v>
      </c>
      <c r="D64" s="236"/>
      <c r="E64" s="235"/>
      <c r="F64" s="245"/>
      <c r="G64" s="246"/>
      <c r="H64" s="236"/>
      <c r="I64" s="235"/>
      <c r="J64" s="79"/>
      <c r="K64" s="79"/>
      <c r="L64" s="79"/>
      <c r="M64" s="79"/>
      <c r="N64" s="79"/>
      <c r="O64" s="79"/>
      <c r="P64" s="79"/>
      <c r="Q64" s="79"/>
      <c r="R64" s="79"/>
      <c r="S64" s="79"/>
      <c r="T64" s="79"/>
      <c r="U64" s="79"/>
      <c r="V64" s="3"/>
      <c r="W64" s="3"/>
      <c r="X64" s="3"/>
    </row>
    <row r="65" spans="1:24" ht="15" customHeight="1" x14ac:dyDescent="0.3">
      <c r="A65" s="79"/>
      <c r="B65" s="1511"/>
      <c r="C65" s="240" t="s">
        <v>28</v>
      </c>
      <c r="D65" s="241">
        <f>SUM(((Q48*D26)+(R48*D26))+((S48*E26)+(T48*E26)+(U48*E26)))</f>
        <v>1.0098160899999999</v>
      </c>
      <c r="E65" s="242">
        <f>SUM(((Q48*F26)+(R48*F26))+((S48*G26)+(T48*G26)+(U48*G26)))</f>
        <v>0.99957293999999997</v>
      </c>
      <c r="F65" s="241">
        <f>SUM(((Q48*H26)+(R48*H26))+((S48*I26)+(T48*I26)+(U48*I26)))</f>
        <v>1.0129793899999999</v>
      </c>
      <c r="G65" s="242">
        <f>SUM(((Q48*J26)+(R48*J26))+((S48*K26)+(T48*K26)+(U48*K26)))</f>
        <v>1.0033801599999999</v>
      </c>
      <c r="H65" s="241">
        <f>SUM(((Q48*L26)+(R48*L26))+((S48*M26)+(T48*M26)+(U48*M26)))</f>
        <v>1.01403102</v>
      </c>
      <c r="I65" s="242">
        <f>SUM(((Q48*N26)+(R48*N26))+((S48*O26)+(T48*O26)+(U48*O26)))</f>
        <v>1.00521722</v>
      </c>
      <c r="J65" s="79"/>
      <c r="K65" s="79"/>
      <c r="L65" s="79"/>
      <c r="M65" s="79"/>
      <c r="N65" s="79"/>
      <c r="O65" s="79"/>
      <c r="P65" s="79"/>
      <c r="Q65" s="79"/>
      <c r="R65" s="79"/>
      <c r="S65" s="79"/>
      <c r="T65" s="79"/>
      <c r="U65" s="79"/>
      <c r="V65" s="3"/>
      <c r="W65" s="3"/>
      <c r="X65" s="3"/>
    </row>
    <row r="66" spans="1:24" ht="15" customHeight="1" x14ac:dyDescent="0.3">
      <c r="A66" s="79"/>
      <c r="B66" s="1511"/>
      <c r="C66" s="240" t="s">
        <v>210</v>
      </c>
      <c r="D66" s="241">
        <f>SUM(((Q49*D26)+(R49*D26))+((S49*E26)+(T49*E26)+(U49*E26)))</f>
        <v>1.0074386399999999</v>
      </c>
      <c r="E66" s="242">
        <f>SUM(((Q49*F26)+(R49*F26))+((S49*G26)+(T49*G26)+(U49*G26)))</f>
        <v>0.99716693999999995</v>
      </c>
      <c r="F66" s="241">
        <f>SUM(((Q49*H26)+(R49*H26))+((S49*I26)+(T49*I26)+(U49*I26)))</f>
        <v>1.01063529</v>
      </c>
      <c r="G66" s="242">
        <f>SUM(((Q49*J26)+(R49*J26))+((S49*K26)+(T49*K26)+(U49*K26)))</f>
        <v>1.0009665599999999</v>
      </c>
      <c r="H66" s="241">
        <f>SUM(((Q49*L26)+(R49*L26))+((S49*M26)+(T49*M26)+(U49*M26)))</f>
        <v>1.0116988199999999</v>
      </c>
      <c r="I66" s="242">
        <f>SUM(((Q49*N26)+(R49*N26))+((S49*O26)+(T49*O26)+(U49*O26)))</f>
        <v>1.0027906200000001</v>
      </c>
      <c r="J66" s="79"/>
      <c r="K66" s="79"/>
      <c r="L66" s="79"/>
      <c r="M66" s="79"/>
      <c r="N66" s="79"/>
      <c r="O66" s="79"/>
      <c r="P66" s="79"/>
      <c r="Q66" s="79"/>
      <c r="R66" s="79"/>
      <c r="S66" s="79"/>
      <c r="T66" s="79"/>
      <c r="U66" s="79"/>
      <c r="V66" s="3"/>
      <c r="W66" s="3"/>
      <c r="X66" s="3"/>
    </row>
    <row r="67" spans="1:24" ht="15" customHeight="1" x14ac:dyDescent="0.3">
      <c r="A67" s="79"/>
      <c r="B67" s="1512"/>
      <c r="C67" s="243" t="s">
        <v>211</v>
      </c>
      <c r="D67" s="241">
        <f>SUM(((Q50*D26)+(R50*D26))+((S50*E26)+(T50*E26)+(U50*E26)))</f>
        <v>1.0074076399999998</v>
      </c>
      <c r="E67" s="242">
        <f>SUM(((Q50*F26)+(R50*F26))+((S50*G26)+(T50*G26)+(U50*G26)))</f>
        <v>0.99713174000000004</v>
      </c>
      <c r="F67" s="251">
        <f>SUM(((Q50*H26)+(R50*H26))+((S50*I26)+(T50*I26)+(U50*I26)))</f>
        <v>1.0106076900000001</v>
      </c>
      <c r="G67" s="252">
        <f>SUM(((Q50*J26)+(R50*J26))+((S50*K26)+(T50*K26)+(U50*K26)))</f>
        <v>1.00093136</v>
      </c>
      <c r="H67" s="241">
        <f>SUM(((Q50*L26)+(R50*L26))+((S50*M26)+(T50*M26)+(U50*M26)))</f>
        <v>1.01167242</v>
      </c>
      <c r="I67" s="242">
        <f>SUM(((Q50*N26)+(R50*N26))+((S50*O26)+(T50*O26)+(U50*O26)))</f>
        <v>1.0027546200000002</v>
      </c>
      <c r="J67" s="79"/>
      <c r="K67" s="79"/>
      <c r="L67" s="79"/>
      <c r="M67" s="79"/>
      <c r="N67" s="79"/>
      <c r="O67" s="79"/>
      <c r="P67" s="79"/>
      <c r="Q67" s="79"/>
      <c r="R67" s="79"/>
      <c r="S67" s="79"/>
      <c r="T67" s="79"/>
      <c r="U67" s="79"/>
      <c r="V67" s="3"/>
      <c r="W67" s="3"/>
      <c r="X67" s="3"/>
    </row>
    <row r="68" spans="1:24" ht="15" customHeight="1" x14ac:dyDescent="0.3">
      <c r="A68" s="79"/>
      <c r="B68" s="1510">
        <v>6</v>
      </c>
      <c r="C68" s="235" t="s">
        <v>189</v>
      </c>
      <c r="D68" s="236"/>
      <c r="E68" s="235"/>
      <c r="F68" s="245"/>
      <c r="G68" s="246"/>
      <c r="H68" s="236"/>
      <c r="I68" s="235"/>
      <c r="J68" s="79"/>
      <c r="K68" s="79"/>
      <c r="L68" s="79"/>
      <c r="M68" s="79"/>
      <c r="N68" s="79"/>
      <c r="O68" s="79"/>
      <c r="P68" s="79"/>
      <c r="Q68" s="79"/>
      <c r="R68" s="79"/>
      <c r="S68" s="79"/>
      <c r="T68" s="79"/>
      <c r="U68" s="79"/>
      <c r="V68" s="3"/>
      <c r="W68" s="3"/>
      <c r="X68" s="3"/>
    </row>
    <row r="69" spans="1:24" ht="15" customHeight="1" x14ac:dyDescent="0.3">
      <c r="A69" s="79"/>
      <c r="B69" s="1511"/>
      <c r="C69" s="240" t="s">
        <v>28</v>
      </c>
      <c r="D69" s="241">
        <f>SUM(((Q48*D30)+(R48*D30))+((S48*E30)+(T48*E30)+(U48*E30)))</f>
        <v>1.00816405</v>
      </c>
      <c r="E69" s="242">
        <f>SUM(((Q48*F30)+(R48*F30))+((S48*G30)+(T48*G30)+(U48*G30)))</f>
        <v>1.00000661</v>
      </c>
      <c r="F69" s="241">
        <f>SUM(((Q48*H30)+(R48*H30))+((S48*I30)+(T48*I30)+(U48*I30)))</f>
        <v>1.0114191299999999</v>
      </c>
      <c r="G69" s="242">
        <f>SUM(((Q48*J30)+(R48*J30))+((S48*K30)+(T48*K30)+(U48*K30)))</f>
        <v>1.0040226199999998</v>
      </c>
      <c r="H69" s="241">
        <f>SUM(((Q48*L30)+(R48*L30))+((S48*M30)+(T48*M30)+(U48*M30)))</f>
        <v>1.01237898</v>
      </c>
      <c r="I69" s="242">
        <f>SUM(((Q48*N30)+(R48*N30))+((S48*O30)+(T48*O30)+(U48*O30)))</f>
        <v>1.0057678999999999</v>
      </c>
      <c r="J69" s="79"/>
      <c r="K69" s="79"/>
      <c r="L69" s="79"/>
      <c r="M69" s="79"/>
      <c r="N69" s="79"/>
      <c r="O69" s="79"/>
      <c r="P69" s="79"/>
      <c r="Q69" s="79"/>
      <c r="R69" s="79"/>
      <c r="S69" s="79"/>
      <c r="T69" s="79"/>
      <c r="U69" s="79"/>
      <c r="V69" s="3"/>
      <c r="W69" s="3"/>
      <c r="X69" s="3"/>
    </row>
    <row r="70" spans="1:24" ht="15" customHeight="1" x14ac:dyDescent="0.3">
      <c r="A70" s="79"/>
      <c r="B70" s="1511"/>
      <c r="C70" s="240" t="s">
        <v>210</v>
      </c>
      <c r="D70" s="241">
        <f>SUM(((Q49*D30)+(R49*D30))+((S49*E30)+(T49*E30)+(U49*E30)))</f>
        <v>1.0057479</v>
      </c>
      <c r="E70" s="242">
        <f>SUM(((Q49*F30)+(R49*F30))+((S49*G30)+(T49*G30)+(U49*G30)))</f>
        <v>0.99761841000000018</v>
      </c>
      <c r="F70" s="241">
        <f>SUM(((Q49*H30)+(R49*H30))+((S49*I30)+(T49*I30)+(U49*I30)))</f>
        <v>1.0090384800000001</v>
      </c>
      <c r="G70" s="242">
        <f>SUM(((Q49*J30)+(R49*J30))+((S49*K30)+(T49*K30)+(U49*K30)))</f>
        <v>1.0016240699999999</v>
      </c>
      <c r="H70" s="241">
        <f>SUM(((Q49*L30)+(R49*L30))+((S49*M30)+(T49*M30)+(U49*M30)))</f>
        <v>1.0100080800000002</v>
      </c>
      <c r="I70" s="242">
        <f>SUM(((Q49*N30)+(R49*N30))+((S49*O30)+(T49*O30)+(U49*O30)))</f>
        <v>1.0033542</v>
      </c>
      <c r="J70" s="79"/>
      <c r="K70" s="79"/>
      <c r="L70" s="79"/>
      <c r="M70" s="79"/>
      <c r="N70" s="79"/>
      <c r="O70" s="79"/>
      <c r="P70" s="79"/>
      <c r="Q70" s="79"/>
      <c r="R70" s="79"/>
      <c r="S70" s="79"/>
      <c r="T70" s="79"/>
      <c r="U70" s="79"/>
      <c r="V70" s="3"/>
      <c r="W70" s="3"/>
      <c r="X70" s="3"/>
    </row>
    <row r="71" spans="1:24" ht="15" customHeight="1" x14ac:dyDescent="0.3">
      <c r="A71" s="79"/>
      <c r="B71" s="1512"/>
      <c r="C71" s="243" t="s">
        <v>211</v>
      </c>
      <c r="D71" s="241">
        <f>SUM(((Q50*D30)+(R50*D30))+((S50*E30)+(T50*E30)+(U50*E30)))</f>
        <v>1.0057133</v>
      </c>
      <c r="E71" s="242">
        <f>SUM(((Q50*F30)+(R50*F30))+((S50*G30)+(T50*G30)+(U50*G30)))</f>
        <v>0.99758480999999999</v>
      </c>
      <c r="F71" s="251">
        <f>SUM(((Q50*H30)+(R50*H30))+((S50*I30)+(T50*I30)+(U50*I30)))</f>
        <v>1.00900748</v>
      </c>
      <c r="G71" s="252">
        <f>SUM(((Q50*J30)+(R50*J30))+((S50*K30)+(T50*K30)+(U50*K30)))</f>
        <v>1.0015902699999999</v>
      </c>
      <c r="H71" s="241">
        <f>SUM(((Q50*L30)+(R50*L30))+((S50*M30)+(T50*M30)+(U50*M30)))</f>
        <v>1.0099780800000002</v>
      </c>
      <c r="I71" s="242">
        <f>SUM(((Q50*N30)+(R50*N30))+((S50*O30)+(T50*O30)+(U50*O30)))</f>
        <v>1.0033194000000001</v>
      </c>
      <c r="J71" s="79"/>
      <c r="K71" s="79"/>
      <c r="L71" s="79"/>
      <c r="M71" s="79"/>
      <c r="N71" s="79"/>
      <c r="O71" s="79"/>
      <c r="P71" s="79"/>
      <c r="Q71" s="79"/>
      <c r="R71" s="79"/>
      <c r="S71" s="79"/>
      <c r="T71" s="79"/>
      <c r="U71" s="79"/>
      <c r="V71" s="3"/>
      <c r="W71" s="3"/>
      <c r="X71" s="3"/>
    </row>
    <row r="72" spans="1:24" ht="15" customHeight="1" x14ac:dyDescent="0.3">
      <c r="A72" s="79"/>
      <c r="B72" s="1510">
        <v>7</v>
      </c>
      <c r="C72" s="235" t="s">
        <v>192</v>
      </c>
      <c r="D72" s="236"/>
      <c r="E72" s="235"/>
      <c r="F72" s="245"/>
      <c r="G72" s="246"/>
      <c r="H72" s="236"/>
      <c r="I72" s="235"/>
      <c r="J72" s="79"/>
      <c r="K72" s="79"/>
      <c r="L72" s="79"/>
      <c r="M72" s="79"/>
      <c r="N72" s="79"/>
      <c r="O72" s="79"/>
      <c r="P72" s="79"/>
      <c r="Q72" s="79"/>
      <c r="R72" s="79"/>
      <c r="S72" s="79"/>
      <c r="T72" s="79"/>
      <c r="U72" s="79"/>
      <c r="V72" s="3"/>
      <c r="W72" s="3"/>
      <c r="X72" s="3"/>
    </row>
    <row r="73" spans="1:24" ht="15" customHeight="1" x14ac:dyDescent="0.3">
      <c r="A73" s="79"/>
      <c r="B73" s="1511"/>
      <c r="C73" s="240" t="s">
        <v>28</v>
      </c>
      <c r="D73" s="241">
        <f>SUM(((Q48*D34)+(R48*D34))+((S48*E34)+(T48*E34)+(U48*E34)))</f>
        <v>1.01073389</v>
      </c>
      <c r="E73" s="242">
        <f>SUM(((Q48*F34)+(R48*F34))+((S48*G34)+(T48*G34)+(U48*G34)))</f>
        <v>1.0026934599999999</v>
      </c>
      <c r="F73" s="241">
        <f>SUM(((Q48*H34)+(R48*H34))+((S48*I34)+(T48*I34)+(U48*I34)))</f>
        <v>1.01362185</v>
      </c>
      <c r="G73" s="242">
        <f>SUM(((Q48*J34)+(R48*J34))+((S48*K34)+(T48*K34)+(U48*K34)))</f>
        <v>1.00539932</v>
      </c>
      <c r="H73" s="241">
        <f>SUM(((Q48*L34)+(R48*L34))+((S48*M34)+(T48*M34)+(U48*M34)))</f>
        <v>1.0147652600000001</v>
      </c>
      <c r="I73" s="242">
        <f>SUM(((Q48*N34)+(R48*N34))+((S48*O34)+(T48*O34)+(U48*O34)))</f>
        <v>1.0070528200000002</v>
      </c>
      <c r="J73" s="79"/>
      <c r="K73" s="79"/>
      <c r="L73" s="79"/>
      <c r="M73" s="79"/>
      <c r="N73" s="79"/>
      <c r="O73" s="79"/>
      <c r="P73" s="79"/>
      <c r="Q73" s="79"/>
      <c r="R73" s="79"/>
      <c r="S73" s="79"/>
      <c r="T73" s="79"/>
      <c r="U73" s="79"/>
      <c r="V73" s="3"/>
      <c r="W73" s="3"/>
      <c r="X73" s="3"/>
    </row>
    <row r="74" spans="1:24" ht="15" customHeight="1" x14ac:dyDescent="0.3">
      <c r="A74" s="79"/>
      <c r="B74" s="1511"/>
      <c r="C74" s="240" t="s">
        <v>210</v>
      </c>
      <c r="D74" s="241">
        <f>SUM(((Q49*D34)+(R49*D34))+((S49*E34)+(T49*E34)+(U49*E34)))</f>
        <v>1.0083779400000001</v>
      </c>
      <c r="E74" s="242">
        <f>SUM(((Q49*F34)+(R49*F34))+((S49*G34)+(T49*G34)+(U49*G34)))</f>
        <v>1.0003605600000001</v>
      </c>
      <c r="F74" s="241">
        <f>SUM(((Q49*H34)+(R49*H34))+((S49*I34)+(T49*I34)+(U49*I34)))</f>
        <v>1.0112928000000001</v>
      </c>
      <c r="G74" s="242">
        <f>SUM(((Q49*J34)+(R49*J34))+((S49*K34)+(T49*K34)+(U49*K34)))</f>
        <v>1.0030330199999999</v>
      </c>
      <c r="H74" s="241">
        <f>SUM(((Q49*L34)+(R49*L34))+((S49*M34)+(T49*M34)+(U49*M34)))</f>
        <v>1.01245026</v>
      </c>
      <c r="I74" s="242">
        <f>SUM(((Q49*N34)+(R49*N34))+((S49*O34)+(T49*O34)+(U49*O34)))</f>
        <v>1.00466922</v>
      </c>
      <c r="J74" s="79"/>
      <c r="K74" s="79"/>
      <c r="L74" s="79"/>
      <c r="M74" s="79"/>
      <c r="N74" s="79"/>
      <c r="O74" s="79"/>
      <c r="P74" s="79"/>
      <c r="Q74" s="79"/>
      <c r="R74" s="79"/>
      <c r="S74" s="79"/>
      <c r="T74" s="79"/>
      <c r="U74" s="79"/>
      <c r="V74" s="3"/>
      <c r="W74" s="3"/>
      <c r="X74" s="3"/>
    </row>
    <row r="75" spans="1:24" ht="15" customHeight="1" x14ac:dyDescent="0.3">
      <c r="A75" s="79"/>
      <c r="B75" s="1512"/>
      <c r="C75" s="243" t="s">
        <v>211</v>
      </c>
      <c r="D75" s="241">
        <f>SUM(((Q50*D34)+(R50*D34))+((S50*E34)+(T50*E34)+(U50*E34)))</f>
        <v>1.0083489400000001</v>
      </c>
      <c r="E75" s="242">
        <f>SUM(((Q50*F34)+(R50*F34))+((S50*G34)+(T50*G34)+(U50*G34)))</f>
        <v>1.0003321600000001</v>
      </c>
      <c r="F75" s="251">
        <f>SUM(((Q50*H34)+(R50*H34))+((S50*I34)+(T50*I34)+(U50*I34)))</f>
        <v>1.0112665999999999</v>
      </c>
      <c r="G75" s="252">
        <f>SUM(((Q50*J34)+(R50*J34))+((S50*K34)+(T50*K34)+(U50*K34)))</f>
        <v>1.0030022199999999</v>
      </c>
      <c r="H75" s="241">
        <f>SUM(((Q50*L34)+(R50*L34))+((S50*M34)+(T50*M34)+(U50*M34)))</f>
        <v>1.01242546</v>
      </c>
      <c r="I75" s="242">
        <f>SUM(((Q50*N34)+(R50*N34))+((S50*O34)+(T50*O34)+(U50*O34)))</f>
        <v>1.00463722</v>
      </c>
      <c r="J75" s="79"/>
      <c r="K75" s="79"/>
      <c r="L75" s="79"/>
      <c r="M75" s="79"/>
      <c r="N75" s="79"/>
      <c r="O75" s="79"/>
      <c r="P75" s="79"/>
      <c r="Q75" s="79"/>
      <c r="R75" s="79"/>
      <c r="S75" s="79"/>
      <c r="T75" s="79"/>
      <c r="U75" s="79"/>
      <c r="V75" s="3"/>
      <c r="W75" s="3"/>
      <c r="X75" s="3"/>
    </row>
    <row r="76" spans="1:24" ht="15" customHeight="1" x14ac:dyDescent="0.3">
      <c r="A76" s="79"/>
      <c r="B76" s="1510">
        <v>8</v>
      </c>
      <c r="C76" s="244" t="s">
        <v>193</v>
      </c>
      <c r="D76" s="236"/>
      <c r="E76" s="235"/>
      <c r="F76" s="245"/>
      <c r="G76" s="246"/>
      <c r="H76" s="236"/>
      <c r="I76" s="235"/>
      <c r="J76" s="79"/>
      <c r="K76" s="79"/>
      <c r="L76" s="79"/>
      <c r="M76" s="79"/>
      <c r="N76" s="79"/>
      <c r="O76" s="79"/>
      <c r="P76" s="79"/>
      <c r="Q76" s="79"/>
      <c r="R76" s="79"/>
      <c r="S76" s="79"/>
      <c r="T76" s="79"/>
      <c r="U76" s="79"/>
      <c r="V76" s="3"/>
      <c r="W76" s="3"/>
      <c r="X76" s="3"/>
    </row>
    <row r="77" spans="1:24" ht="15" customHeight="1" x14ac:dyDescent="0.3">
      <c r="A77" s="79"/>
      <c r="B77" s="1511"/>
      <c r="C77" s="240" t="s">
        <v>28</v>
      </c>
      <c r="D77" s="241">
        <f>SUM(((Q48*D38)+(R48*D38))+((S48*E38)+(T48*E38)+(U48*E38)))</f>
        <v>1.0101832099999999</v>
      </c>
      <c r="E77" s="242">
        <f>SUM(((Q48*F38)+(R48*F38))+((S48*G38)+(T48*G38)+(U48*G38)))</f>
        <v>1.0015003199999999</v>
      </c>
      <c r="F77" s="241">
        <f>SUM(((Q48*H38)+(R48*H38))+((S48*I38)+(T48*I38)+(U48*I38)))</f>
        <v>1.0132547300000001</v>
      </c>
      <c r="G77" s="242">
        <f>SUM(((Q48*J38)+(R48*J38))+((S48*K38)+(T48*K38)+(U48*K38)))</f>
        <v>1.0044815200000001</v>
      </c>
      <c r="H77" s="241">
        <f>SUM(((Q48*L38)+(R48*L38))+((S48*M38)+(T48*M38)+(U48*M38)))</f>
        <v>1.0142145800000002</v>
      </c>
      <c r="I77" s="242">
        <f>SUM(((Q48*N38)+(R48*N38))+((S48*O38)+(T48*O38)+(U48*O38)))</f>
        <v>1.0064103600000001</v>
      </c>
      <c r="J77" s="79"/>
      <c r="K77" s="79"/>
      <c r="L77" s="79"/>
      <c r="M77" s="79"/>
      <c r="N77" s="79"/>
      <c r="O77" s="79"/>
      <c r="P77" s="79"/>
      <c r="Q77" s="79"/>
      <c r="R77" s="79"/>
      <c r="S77" s="79"/>
      <c r="T77" s="3"/>
      <c r="U77" s="3"/>
      <c r="V77" s="3"/>
      <c r="W77" s="3"/>
      <c r="X77" s="3"/>
    </row>
    <row r="78" spans="1:24" ht="15" customHeight="1" x14ac:dyDescent="0.3">
      <c r="A78" s="79"/>
      <c r="B78" s="1511"/>
      <c r="C78" s="240" t="s">
        <v>210</v>
      </c>
      <c r="D78" s="241">
        <f>SUM(((Q49*D38)+(R49*D38))+((S49*E38)+(T49*E38)+(U49*E38)))</f>
        <v>1.00781436</v>
      </c>
      <c r="E78" s="242">
        <f>SUM(((Q49*F38)+(R49*F38))+((S49*G38)+(T49*G38)+(U49*G38)))</f>
        <v>0.99913947000000003</v>
      </c>
      <c r="F78" s="241">
        <f>SUM(((Q49*H38)+(R49*H38))+((S49*I38)+(T49*I38)+(U49*I38)))</f>
        <v>1.01091708</v>
      </c>
      <c r="G78" s="242">
        <f>SUM(((Q49*J38)+(R49*J38))+((S49*K38)+(T49*K38)+(U49*K38)))</f>
        <v>1.00209372</v>
      </c>
      <c r="H78" s="241">
        <f>SUM(((Q49*L38)+(R49*L38))+((S49*M38)+(T49*M38)+(U49*M38)))</f>
        <v>1.0118866800000001</v>
      </c>
      <c r="I78" s="242">
        <f>SUM(((Q49*N38)+(R49*N38))+((S49*O38)+(T49*O38)+(U49*O38)))</f>
        <v>1.0040117100000001</v>
      </c>
      <c r="J78" s="79"/>
      <c r="K78" s="79"/>
      <c r="L78" s="79"/>
      <c r="M78" s="79"/>
      <c r="N78" s="79"/>
      <c r="O78" s="79"/>
      <c r="P78" s="79"/>
      <c r="Q78" s="79"/>
      <c r="R78" s="79"/>
      <c r="S78" s="79"/>
      <c r="T78" s="3"/>
      <c r="U78" s="3"/>
      <c r="V78" s="3"/>
      <c r="W78" s="3"/>
      <c r="X78" s="3"/>
    </row>
    <row r="79" spans="1:24" ht="15" customHeight="1" x14ac:dyDescent="0.3">
      <c r="A79" s="79"/>
      <c r="B79" s="1512"/>
      <c r="C79" s="243" t="s">
        <v>211</v>
      </c>
      <c r="D79" s="251">
        <f>SUM(((Q50*D38)+(R50*D38))+((S50*E38)+(T50*E38)+(U50*E38)))</f>
        <v>1.0077841599999999</v>
      </c>
      <c r="E79" s="252">
        <f>SUM(((Q50*F38)+(R50*F38))+((S50*G38)+(T50*G38)+(U50*G38)))</f>
        <v>0.99910846999999992</v>
      </c>
      <c r="F79" s="251">
        <f>SUM(((Q50*H38)+(R50*H38))+((S50*I38)+(T50*I38)+(U50*I38)))</f>
        <v>1.01089008</v>
      </c>
      <c r="G79" s="252">
        <f>SUM(((Q50*J38)+(R50*J38))+((S50*K38)+(T50*K38)+(U50*K38)))</f>
        <v>1.0020609200000001</v>
      </c>
      <c r="H79" s="251">
        <f>SUM(((Q50*L38)+(R50*L38))+((S50*M38)+(T50*M38)+(U50*M38)))</f>
        <v>1.0118606800000001</v>
      </c>
      <c r="I79" s="252">
        <f>SUM(((Q50*N38)+(R50*N38))+((S50*O38)+(T50*O38)+(U50*O38)))</f>
        <v>1.0039783100000002</v>
      </c>
      <c r="J79" s="79"/>
      <c r="K79" s="79"/>
      <c r="L79" s="79"/>
      <c r="M79" s="79"/>
      <c r="N79" s="79"/>
      <c r="O79" s="79"/>
      <c r="P79" s="79"/>
      <c r="Q79" s="79"/>
      <c r="R79" s="79"/>
      <c r="S79" s="79"/>
      <c r="T79" s="3"/>
      <c r="U79" s="3"/>
      <c r="V79" s="3"/>
      <c r="W79" s="3"/>
      <c r="X79" s="3"/>
    </row>
    <row r="80" spans="1:24" ht="15" customHeight="1" x14ac:dyDescent="0.3">
      <c r="A80" s="79"/>
      <c r="B80" s="79"/>
      <c r="C80" s="79"/>
      <c r="D80" s="79"/>
      <c r="E80" s="79"/>
      <c r="F80" s="79"/>
      <c r="G80" s="79"/>
      <c r="H80" s="79"/>
      <c r="I80" s="79"/>
      <c r="J80" s="79"/>
      <c r="K80" s="79"/>
      <c r="L80" s="79"/>
      <c r="M80" s="79"/>
      <c r="N80" s="79"/>
      <c r="O80" s="79"/>
      <c r="P80" s="79"/>
      <c r="Q80" s="79"/>
      <c r="R80" s="79"/>
      <c r="S80" s="79"/>
      <c r="T80" s="3"/>
      <c r="U80" s="3"/>
      <c r="V80" s="3"/>
      <c r="W80" s="3"/>
      <c r="X80" s="3"/>
    </row>
    <row r="81" spans="1:24" ht="15" customHeight="1" x14ac:dyDescent="0.3">
      <c r="A81" s="79"/>
      <c r="B81" s="79"/>
      <c r="C81" s="79"/>
      <c r="D81" s="79"/>
      <c r="E81" s="79"/>
      <c r="F81" s="79"/>
      <c r="G81" s="79"/>
      <c r="H81" s="79"/>
      <c r="I81" s="79"/>
      <c r="J81" s="79"/>
      <c r="K81" s="79"/>
      <c r="L81" s="79"/>
      <c r="M81" s="79"/>
      <c r="N81" s="79"/>
      <c r="O81" s="79"/>
      <c r="P81" s="79"/>
      <c r="Q81" s="79"/>
      <c r="R81" s="79"/>
      <c r="S81" s="79"/>
      <c r="T81" s="3"/>
      <c r="U81" s="3"/>
      <c r="V81" s="3"/>
      <c r="W81" s="3"/>
      <c r="X81" s="3"/>
    </row>
    <row r="82" spans="1:24" ht="15" customHeight="1" x14ac:dyDescent="0.3">
      <c r="A82" s="79"/>
      <c r="B82" s="79"/>
      <c r="C82" s="79"/>
      <c r="D82" s="79"/>
      <c r="E82" s="79"/>
      <c r="F82" s="79"/>
      <c r="G82" s="79"/>
      <c r="H82" s="79"/>
      <c r="I82" s="79"/>
      <c r="J82" s="79"/>
      <c r="K82" s="79"/>
      <c r="L82" s="79"/>
      <c r="M82" s="79"/>
      <c r="N82" s="79"/>
      <c r="O82" s="79"/>
      <c r="P82" s="79"/>
      <c r="Q82" s="79"/>
      <c r="R82" s="79"/>
      <c r="S82" s="79"/>
      <c r="T82" s="79"/>
      <c r="U82" s="79"/>
      <c r="V82" s="3"/>
      <c r="W82" s="3"/>
      <c r="X82" s="3"/>
    </row>
    <row r="83" spans="1:24" ht="15" customHeight="1" x14ac:dyDescent="0.3">
      <c r="A83" s="79"/>
      <c r="B83" s="79"/>
      <c r="C83" s="79"/>
      <c r="D83" s="79"/>
      <c r="E83" s="79"/>
      <c r="F83" s="79"/>
      <c r="G83" s="79"/>
      <c r="H83" s="79"/>
      <c r="I83" s="79"/>
      <c r="J83" s="79"/>
      <c r="K83" s="79"/>
      <c r="L83" s="79"/>
      <c r="M83" s="79"/>
      <c r="N83" s="79"/>
      <c r="O83" s="79"/>
      <c r="P83" s="79"/>
      <c r="Q83" s="79"/>
      <c r="R83" s="79"/>
      <c r="S83" s="79"/>
      <c r="T83" s="79"/>
      <c r="U83" s="79"/>
      <c r="V83" s="3"/>
      <c r="W83" s="3"/>
      <c r="X83" s="3"/>
    </row>
    <row r="84" spans="1:24" ht="15" customHeight="1" x14ac:dyDescent="0.3">
      <c r="A84" s="79"/>
      <c r="B84" s="79"/>
      <c r="C84" s="79"/>
      <c r="D84" s="79"/>
      <c r="E84" s="79"/>
      <c r="F84" s="79"/>
      <c r="G84" s="79"/>
      <c r="H84" s="79"/>
      <c r="I84" s="79"/>
      <c r="J84" s="79"/>
      <c r="K84" s="79"/>
      <c r="L84" s="79"/>
      <c r="M84" s="79"/>
      <c r="N84" s="79"/>
      <c r="O84" s="79"/>
      <c r="P84" s="79"/>
      <c r="Q84" s="79"/>
      <c r="R84" s="79"/>
      <c r="S84" s="79"/>
      <c r="T84" s="79"/>
      <c r="U84" s="79"/>
      <c r="V84" s="3"/>
      <c r="W84" s="3"/>
      <c r="X84" s="3"/>
    </row>
    <row r="85" spans="1:24" ht="16.2" customHeight="1" x14ac:dyDescent="0.3">
      <c r="A85" s="15"/>
      <c r="B85" s="15"/>
      <c r="C85" s="15"/>
      <c r="D85" s="15"/>
      <c r="E85" s="15"/>
      <c r="F85" s="15"/>
      <c r="G85" s="15"/>
      <c r="H85" s="15"/>
      <c r="I85" s="15"/>
      <c r="J85" s="15"/>
      <c r="K85" s="15"/>
      <c r="L85" s="15"/>
      <c r="M85" s="15"/>
      <c r="N85" s="15"/>
      <c r="O85" s="15"/>
      <c r="P85" s="15"/>
      <c r="Q85" s="15"/>
      <c r="R85" s="15"/>
      <c r="S85" s="15"/>
      <c r="T85" s="15"/>
      <c r="U85" s="15"/>
      <c r="V85" s="15"/>
      <c r="W85" s="15"/>
      <c r="X85" s="15"/>
    </row>
  </sheetData>
  <mergeCells count="151">
    <mergeCell ref="B64:B67"/>
    <mergeCell ref="O46:P47"/>
    <mergeCell ref="O48:P48"/>
    <mergeCell ref="O49:P49"/>
    <mergeCell ref="O50:P50"/>
    <mergeCell ref="B52:B55"/>
    <mergeCell ref="O26:O29"/>
    <mergeCell ref="Q46:Q47"/>
    <mergeCell ref="R46:R47"/>
    <mergeCell ref="E26:E29"/>
    <mergeCell ref="F26:F29"/>
    <mergeCell ref="G26:G29"/>
    <mergeCell ref="H26:H29"/>
    <mergeCell ref="B26:B29"/>
    <mergeCell ref="C26:C29"/>
    <mergeCell ref="D26:D29"/>
    <mergeCell ref="N38:N41"/>
    <mergeCell ref="O38:O41"/>
    <mergeCell ref="J34:J37"/>
    <mergeCell ref="I30:I33"/>
    <mergeCell ref="I26:I29"/>
    <mergeCell ref="J26:J29"/>
    <mergeCell ref="K26:K29"/>
    <mergeCell ref="L26:L29"/>
    <mergeCell ref="S46:S47"/>
    <mergeCell ref="T46:T47"/>
    <mergeCell ref="U46:U47"/>
    <mergeCell ref="B56:B59"/>
    <mergeCell ref="B60:B63"/>
    <mergeCell ref="B48:B51"/>
    <mergeCell ref="I10:I13"/>
    <mergeCell ref="J38:J41"/>
    <mergeCell ref="K38:K41"/>
    <mergeCell ref="L38:L41"/>
    <mergeCell ref="M38:M41"/>
    <mergeCell ref="K34:K37"/>
    <mergeCell ref="L34:L37"/>
    <mergeCell ref="M34:M37"/>
    <mergeCell ref="L30:L33"/>
    <mergeCell ref="M30:M33"/>
    <mergeCell ref="K30:K33"/>
    <mergeCell ref="D46:D47"/>
    <mergeCell ref="E46:E47"/>
    <mergeCell ref="K10:K13"/>
    <mergeCell ref="L10:L13"/>
    <mergeCell ref="M10:M13"/>
    <mergeCell ref="L14:L17"/>
    <mergeCell ref="M14:M17"/>
    <mergeCell ref="D7:G7"/>
    <mergeCell ref="H7:K7"/>
    <mergeCell ref="L7:O7"/>
    <mergeCell ref="B45:C47"/>
    <mergeCell ref="D45:E45"/>
    <mergeCell ref="F46:F47"/>
    <mergeCell ref="G46:G47"/>
    <mergeCell ref="H46:H47"/>
    <mergeCell ref="I46:I47"/>
    <mergeCell ref="N34:N37"/>
    <mergeCell ref="N30:N33"/>
    <mergeCell ref="O14:O17"/>
    <mergeCell ref="B7:C9"/>
    <mergeCell ref="N10:N13"/>
    <mergeCell ref="O10:O13"/>
    <mergeCell ref="F45:G45"/>
    <mergeCell ref="H45:I45"/>
    <mergeCell ref="D8:E8"/>
    <mergeCell ref="F8:G8"/>
    <mergeCell ref="H8:I8"/>
    <mergeCell ref="J8:K8"/>
    <mergeCell ref="L8:M8"/>
    <mergeCell ref="N8:O8"/>
    <mergeCell ref="J10:J13"/>
    <mergeCell ref="N14:N17"/>
    <mergeCell ref="K14:K17"/>
    <mergeCell ref="I14:I17"/>
    <mergeCell ref="J14:J17"/>
    <mergeCell ref="B10:B13"/>
    <mergeCell ref="C10:C13"/>
    <mergeCell ref="B18:B21"/>
    <mergeCell ref="C18:C21"/>
    <mergeCell ref="D18:D21"/>
    <mergeCell ref="E18:E21"/>
    <mergeCell ref="F18:F21"/>
    <mergeCell ref="G18:G21"/>
    <mergeCell ref="H18:H21"/>
    <mergeCell ref="H10:H13"/>
    <mergeCell ref="B14:B17"/>
    <mergeCell ref="C14:C17"/>
    <mergeCell ref="D14:D17"/>
    <mergeCell ref="E14:E17"/>
    <mergeCell ref="F14:F17"/>
    <mergeCell ref="G14:G17"/>
    <mergeCell ref="H14:H17"/>
    <mergeCell ref="D10:D13"/>
    <mergeCell ref="E10:E13"/>
    <mergeCell ref="F10:F13"/>
    <mergeCell ref="G10:G13"/>
    <mergeCell ref="C22:C25"/>
    <mergeCell ref="D22:D25"/>
    <mergeCell ref="E22:E25"/>
    <mergeCell ref="F22:F25"/>
    <mergeCell ref="G22:G25"/>
    <mergeCell ref="H22:H25"/>
    <mergeCell ref="I22:I25"/>
    <mergeCell ref="J22:J25"/>
    <mergeCell ref="B76:B79"/>
    <mergeCell ref="B6:O6"/>
    <mergeCell ref="B44:I44"/>
    <mergeCell ref="O34:O37"/>
    <mergeCell ref="B72:B75"/>
    <mergeCell ref="B38:B41"/>
    <mergeCell ref="C38:C41"/>
    <mergeCell ref="D38:D41"/>
    <mergeCell ref="E38:E41"/>
    <mergeCell ref="F38:F41"/>
    <mergeCell ref="G38:G41"/>
    <mergeCell ref="H38:H41"/>
    <mergeCell ref="I38:I41"/>
    <mergeCell ref="B68:B71"/>
    <mergeCell ref="B30:B33"/>
    <mergeCell ref="C30:C33"/>
    <mergeCell ref="D30:D33"/>
    <mergeCell ref="E30:E33"/>
    <mergeCell ref="B22:B25"/>
    <mergeCell ref="N18:N21"/>
    <mergeCell ref="O18:O21"/>
    <mergeCell ref="O30:O33"/>
    <mergeCell ref="J30:J33"/>
    <mergeCell ref="I34:I37"/>
    <mergeCell ref="K18:K21"/>
    <mergeCell ref="L18:L21"/>
    <mergeCell ref="M18:M21"/>
    <mergeCell ref="K22:K25"/>
    <mergeCell ref="L22:L25"/>
    <mergeCell ref="M22:M25"/>
    <mergeCell ref="N22:N25"/>
    <mergeCell ref="O22:O25"/>
    <mergeCell ref="I18:I21"/>
    <mergeCell ref="J18:J21"/>
    <mergeCell ref="M26:M29"/>
    <mergeCell ref="N26:N29"/>
    <mergeCell ref="F30:F33"/>
    <mergeCell ref="G30:G33"/>
    <mergeCell ref="H30:H33"/>
    <mergeCell ref="B34:B37"/>
    <mergeCell ref="C34:C37"/>
    <mergeCell ref="D34:D37"/>
    <mergeCell ref="E34:E37"/>
    <mergeCell ref="F34:F37"/>
    <mergeCell ref="G34:G37"/>
    <mergeCell ref="H34:H37"/>
  </mergeCells>
  <dataValidations disablePrompts="1" count="4">
    <dataValidation allowBlank="1" showInputMessage="1" showErrorMessage="1" prompt="6° 17' 40.1424''" sqref="IW65405 SS65405 ACO65405 AMK65405 AWG65405 BGC65405 BPY65405 BZU65405 CJQ65405 CTM65405 DDI65405 DNE65405 DXA65405 EGW65405 EQS65405 FAO65405 FKK65405 FUG65405 GEC65405 GNY65405 GXU65405 HHQ65405 HRM65405 IBI65405 ILE65405 IVA65405 JEW65405 JOS65405 JYO65405 KIK65405 KSG65405 LCC65405 LLY65405 LVU65405 MFQ65405 MPM65405 MZI65405 NJE65405 NTA65405 OCW65405 OMS65405 OWO65405 PGK65405 PQG65405 QAC65405 QJY65405 QTU65405 RDQ65405 RNM65405 RXI65405 SHE65405 SRA65405 TAW65405 TKS65405 TUO65405 UEK65405 UOG65405 UYC65405 VHY65405 VRU65405 WBQ65405 WLM65405 WVI65405 IW130941 SS130941 ACO130941 AMK130941 AWG130941 BGC130941 BPY130941 BZU130941 CJQ130941 CTM130941 DDI130941 DNE130941 DXA130941 EGW130941 EQS130941 FAO130941 FKK130941 FUG130941 GEC130941 GNY130941 GXU130941 HHQ130941 HRM130941 IBI130941 ILE130941 IVA130941 JEW130941 JOS130941 JYO130941 KIK130941 KSG130941 LCC130941 LLY130941 LVU130941 MFQ130941 MPM130941 MZI130941 NJE130941 NTA130941 OCW130941 OMS130941 OWO130941 PGK130941 PQG130941 QAC130941 QJY130941 QTU130941 RDQ130941 RNM130941 RXI130941 SHE130941 SRA130941 TAW130941 TKS130941 TUO130941 UEK130941 UOG130941 UYC130941 VHY130941 VRU130941 WBQ130941 WLM130941 WVI130941 IW196477 SS196477 ACO196477 AMK196477 AWG196477 BGC196477 BPY196477 BZU196477 CJQ196477 CTM196477 DDI196477 DNE196477 DXA196477 EGW196477 EQS196477 FAO196477 FKK196477 FUG196477 GEC196477 GNY196477 GXU196477 HHQ196477 HRM196477 IBI196477 ILE196477 IVA196477 JEW196477 JOS196477 JYO196477 KIK196477 KSG196477 LCC196477 LLY196477 LVU196477 MFQ196477 MPM196477 MZI196477 NJE196477 NTA196477 OCW196477 OMS196477 OWO196477 PGK196477 PQG196477 QAC196477 QJY196477 QTU196477 RDQ196477 RNM196477 RXI196477 SHE196477 SRA196477 TAW196477 TKS196477 TUO196477 UEK196477 UOG196477 UYC196477 VHY196477 VRU196477 WBQ196477 WLM196477 WVI196477 IW262013 SS262013 ACO262013 AMK262013 AWG262013 BGC262013 BPY262013 BZU262013 CJQ262013 CTM262013 DDI262013 DNE262013 DXA262013 EGW262013 EQS262013 FAO262013 FKK262013 FUG262013 GEC262013 GNY262013 GXU262013 HHQ262013 HRM262013 IBI262013 ILE262013 IVA262013 JEW262013 JOS262013 JYO262013 KIK262013 KSG262013 LCC262013 LLY262013 LVU262013 MFQ262013 MPM262013 MZI262013 NJE262013 NTA262013 OCW262013 OMS262013 OWO262013 PGK262013 PQG262013 QAC262013 QJY262013 QTU262013 RDQ262013 RNM262013 RXI262013 SHE262013 SRA262013 TAW262013 TKS262013 TUO262013 UEK262013 UOG262013 UYC262013 VHY262013 VRU262013 WBQ262013 WLM262013 WVI262013 IW327549 SS327549 ACO327549 AMK327549 AWG327549 BGC327549 BPY327549 BZU327549 CJQ327549 CTM327549 DDI327549 DNE327549 DXA327549 EGW327549 EQS327549 FAO327549 FKK327549 FUG327549 GEC327549 GNY327549 GXU327549 HHQ327549 HRM327549 IBI327549 ILE327549 IVA327549 JEW327549 JOS327549 JYO327549 KIK327549 KSG327549 LCC327549 LLY327549 LVU327549 MFQ327549 MPM327549 MZI327549 NJE327549 NTA327549 OCW327549 OMS327549 OWO327549 PGK327549 PQG327549 QAC327549 QJY327549 QTU327549 RDQ327549 RNM327549 RXI327549 SHE327549 SRA327549 TAW327549 TKS327549 TUO327549 UEK327549 UOG327549 UYC327549 VHY327549 VRU327549 WBQ327549 WLM327549 WVI327549 IW393085 SS393085 ACO393085 AMK393085 AWG393085 BGC393085 BPY393085 BZU393085 CJQ393085 CTM393085 DDI393085 DNE393085 DXA393085 EGW393085 EQS393085 FAO393085 FKK393085 FUG393085 GEC393085 GNY393085 GXU393085 HHQ393085 HRM393085 IBI393085 ILE393085 IVA393085 JEW393085 JOS393085 JYO393085 KIK393085 KSG393085 LCC393085 LLY393085 LVU393085 MFQ393085 MPM393085 MZI393085 NJE393085 NTA393085 OCW393085 OMS393085 OWO393085 PGK393085 PQG393085 QAC393085 QJY393085 QTU393085 RDQ393085 RNM393085 RXI393085 SHE393085 SRA393085 TAW393085 TKS393085 TUO393085 UEK393085 UOG393085 UYC393085 VHY393085 VRU393085 WBQ393085 WLM393085 WVI393085 IW458621 SS458621 ACO458621 AMK458621 AWG458621 BGC458621 BPY458621 BZU458621 CJQ458621 CTM458621 DDI458621 DNE458621 DXA458621 EGW458621 EQS458621 FAO458621 FKK458621 FUG458621 GEC458621 GNY458621 GXU458621 HHQ458621 HRM458621 IBI458621 ILE458621 IVA458621 JEW458621 JOS458621 JYO458621 KIK458621 KSG458621 LCC458621 LLY458621 LVU458621 MFQ458621 MPM458621 MZI458621 NJE458621 NTA458621 OCW458621 OMS458621 OWO458621 PGK458621 PQG458621 QAC458621 QJY458621 QTU458621 RDQ458621 RNM458621 RXI458621 SHE458621 SRA458621 TAW458621 TKS458621 TUO458621 UEK458621 UOG458621 UYC458621 VHY458621 VRU458621 WBQ458621 WLM458621 WVI458621 IW524157 SS524157 ACO524157 AMK524157 AWG524157 BGC524157 BPY524157 BZU524157 CJQ524157 CTM524157 DDI524157 DNE524157 DXA524157 EGW524157 EQS524157 FAO524157 FKK524157 FUG524157 GEC524157 GNY524157 GXU524157 HHQ524157 HRM524157 IBI524157 ILE524157 IVA524157 JEW524157 JOS524157 JYO524157 KIK524157 KSG524157 LCC524157 LLY524157 LVU524157 MFQ524157 MPM524157 MZI524157 NJE524157 NTA524157 OCW524157 OMS524157 OWO524157 PGK524157 PQG524157 QAC524157 QJY524157 QTU524157 RDQ524157 RNM524157 RXI524157 SHE524157 SRA524157 TAW524157 TKS524157 TUO524157 UEK524157 UOG524157 UYC524157 VHY524157 VRU524157 WBQ524157 WLM524157 WVI524157 IW589693 SS589693 ACO589693 AMK589693 AWG589693 BGC589693 BPY589693 BZU589693 CJQ589693 CTM589693 DDI589693 DNE589693 DXA589693 EGW589693 EQS589693 FAO589693 FKK589693 FUG589693 GEC589693 GNY589693 GXU589693 HHQ589693 HRM589693 IBI589693 ILE589693 IVA589693 JEW589693 JOS589693 JYO589693 KIK589693 KSG589693 LCC589693 LLY589693 LVU589693 MFQ589693 MPM589693 MZI589693 NJE589693 NTA589693 OCW589693 OMS589693 OWO589693 PGK589693 PQG589693 QAC589693 QJY589693 QTU589693 RDQ589693 RNM589693 RXI589693 SHE589693 SRA589693 TAW589693 TKS589693 TUO589693 UEK589693 UOG589693 UYC589693 VHY589693 VRU589693 WBQ589693 WLM589693 WVI589693 IW655229 SS655229 ACO655229 AMK655229 AWG655229 BGC655229 BPY655229 BZU655229 CJQ655229 CTM655229 DDI655229 DNE655229 DXA655229 EGW655229 EQS655229 FAO655229 FKK655229 FUG655229 GEC655229 GNY655229 GXU655229 HHQ655229 HRM655229 IBI655229 ILE655229 IVA655229 JEW655229 JOS655229 JYO655229 KIK655229 KSG655229 LCC655229 LLY655229 LVU655229 MFQ655229 MPM655229 MZI655229 NJE655229 NTA655229 OCW655229 OMS655229 OWO655229 PGK655229 PQG655229 QAC655229 QJY655229 QTU655229 RDQ655229 RNM655229 RXI655229 SHE655229 SRA655229 TAW655229 TKS655229 TUO655229 UEK655229 UOG655229 UYC655229 VHY655229 VRU655229 WBQ655229 WLM655229 WVI655229 IW720765 SS720765 ACO720765 AMK720765 AWG720765 BGC720765 BPY720765 BZU720765 CJQ720765 CTM720765 DDI720765 DNE720765 DXA720765 EGW720765 EQS720765 FAO720765 FKK720765 FUG720765 GEC720765 GNY720765 GXU720765 HHQ720765 HRM720765 IBI720765 ILE720765 IVA720765 JEW720765 JOS720765 JYO720765 KIK720765 KSG720765 LCC720765 LLY720765 LVU720765 MFQ720765 MPM720765 MZI720765 NJE720765 NTA720765 OCW720765 OMS720765 OWO720765 PGK720765 PQG720765 QAC720765 QJY720765 QTU720765 RDQ720765 RNM720765 RXI720765 SHE720765 SRA720765 TAW720765 TKS720765 TUO720765 UEK720765 UOG720765 UYC720765 VHY720765 VRU720765 WBQ720765 WLM720765 WVI720765 IW786301 SS786301 ACO786301 AMK786301 AWG786301 BGC786301 BPY786301 BZU786301 CJQ786301 CTM786301 DDI786301 DNE786301 DXA786301 EGW786301 EQS786301 FAO786301 FKK786301 FUG786301 GEC786301 GNY786301 GXU786301 HHQ786301 HRM786301 IBI786301 ILE786301 IVA786301 JEW786301 JOS786301 JYO786301 KIK786301 KSG786301 LCC786301 LLY786301 LVU786301 MFQ786301 MPM786301 MZI786301 NJE786301 NTA786301 OCW786301 OMS786301 OWO786301 PGK786301 PQG786301 QAC786301 QJY786301 QTU786301 RDQ786301 RNM786301 RXI786301 SHE786301 SRA786301 TAW786301 TKS786301 TUO786301 UEK786301 UOG786301 UYC786301 VHY786301 VRU786301 WBQ786301 WLM786301 WVI786301 IW851837 SS851837 ACO851837 AMK851837 AWG851837 BGC851837 BPY851837 BZU851837 CJQ851837 CTM851837 DDI851837 DNE851837 DXA851837 EGW851837 EQS851837 FAO851837 FKK851837 FUG851837 GEC851837 GNY851837 GXU851837 HHQ851837 HRM851837 IBI851837 ILE851837 IVA851837 JEW851837 JOS851837 JYO851837 KIK851837 KSG851837 LCC851837 LLY851837 LVU851837 MFQ851837 MPM851837 MZI851837 NJE851837 NTA851837 OCW851837 OMS851837 OWO851837 PGK851837 PQG851837 QAC851837 QJY851837 QTU851837 RDQ851837 RNM851837 RXI851837 SHE851837 SRA851837 TAW851837 TKS851837 TUO851837 UEK851837 UOG851837 UYC851837 VHY851837 VRU851837 WBQ851837 WLM851837 WVI851837 IW917373 SS917373 ACO917373 AMK917373 AWG917373 BGC917373 BPY917373 BZU917373 CJQ917373 CTM917373 DDI917373 DNE917373 DXA917373 EGW917373 EQS917373 FAO917373 FKK917373 FUG917373 GEC917373 GNY917373 GXU917373 HHQ917373 HRM917373 IBI917373 ILE917373 IVA917373 JEW917373 JOS917373 JYO917373 KIK917373 KSG917373 LCC917373 LLY917373 LVU917373 MFQ917373 MPM917373 MZI917373 NJE917373 NTA917373 OCW917373 OMS917373 OWO917373 PGK917373 PQG917373 QAC917373 QJY917373 QTU917373 RDQ917373 RNM917373 RXI917373 SHE917373 SRA917373 TAW917373 TKS917373 TUO917373 UEK917373 UOG917373 UYC917373 VHY917373 VRU917373 WBQ917373 WLM917373 WVI917373 IW982909 SS982909 ACO982909 AMK982909 AWG982909 BGC982909 BPY982909 BZU982909 CJQ982909 CTM982909 DDI982909 DNE982909 DXA982909 EGW982909 EQS982909 FAO982909 FKK982909 FUG982909 GEC982909 GNY982909 GXU982909 HHQ982909 HRM982909 IBI982909 ILE982909 IVA982909 JEW982909 JOS982909 JYO982909 KIK982909 KSG982909 LCC982909 LLY982909 LVU982909 MFQ982909 MPM982909 MZI982909 NJE982909 NTA982909 OCW982909 OMS982909 OWO982909 PGK982909 PQG982909 QAC982909 QJY982909 QTU982909 RDQ982909 RNM982909 RXI982909 SHE982909 SRA982909 TAW982909 TKS982909 TUO982909 UEK982909 UOG982909 UYC982909 VHY982909 VRU982909 WBQ982909 WLM982909 WVI982909"/>
    <dataValidation allowBlank="1" showInputMessage="1" showErrorMessage="1" prompt="53° 20' 52.4436''" sqref="IU65405 SQ65405 ACM65405 AMI65405 AWE65405 BGA65405 BPW65405 BZS65405 CJO65405 CTK65405 DDG65405 DNC65405 DWY65405 EGU65405 EQQ65405 FAM65405 FKI65405 FUE65405 GEA65405 GNW65405 GXS65405 HHO65405 HRK65405 IBG65405 ILC65405 IUY65405 JEU65405 JOQ65405 JYM65405 KII65405 KSE65405 LCA65405 LLW65405 LVS65405 MFO65405 MPK65405 MZG65405 NJC65405 NSY65405 OCU65405 OMQ65405 OWM65405 PGI65405 PQE65405 QAA65405 QJW65405 QTS65405 RDO65405 RNK65405 RXG65405 SHC65405 SQY65405 TAU65405 TKQ65405 TUM65405 UEI65405 UOE65405 UYA65405 VHW65405 VRS65405 WBO65405 WLK65405 WVG65405 IU130941 SQ130941 ACM130941 AMI130941 AWE130941 BGA130941 BPW130941 BZS130941 CJO130941 CTK130941 DDG130941 DNC130941 DWY130941 EGU130941 EQQ130941 FAM130941 FKI130941 FUE130941 GEA130941 GNW130941 GXS130941 HHO130941 HRK130941 IBG130941 ILC130941 IUY130941 JEU130941 JOQ130941 JYM130941 KII130941 KSE130941 LCA130941 LLW130941 LVS130941 MFO130941 MPK130941 MZG130941 NJC130941 NSY130941 OCU130941 OMQ130941 OWM130941 PGI130941 PQE130941 QAA130941 QJW130941 QTS130941 RDO130941 RNK130941 RXG130941 SHC130941 SQY130941 TAU130941 TKQ130941 TUM130941 UEI130941 UOE130941 UYA130941 VHW130941 VRS130941 WBO130941 WLK130941 WVG130941 IU196477 SQ196477 ACM196477 AMI196477 AWE196477 BGA196477 BPW196477 BZS196477 CJO196477 CTK196477 DDG196477 DNC196477 DWY196477 EGU196477 EQQ196477 FAM196477 FKI196477 FUE196477 GEA196477 GNW196477 GXS196477 HHO196477 HRK196477 IBG196477 ILC196477 IUY196477 JEU196477 JOQ196477 JYM196477 KII196477 KSE196477 LCA196477 LLW196477 LVS196477 MFO196477 MPK196477 MZG196477 NJC196477 NSY196477 OCU196477 OMQ196477 OWM196477 PGI196477 PQE196477 QAA196477 QJW196477 QTS196477 RDO196477 RNK196477 RXG196477 SHC196477 SQY196477 TAU196477 TKQ196477 TUM196477 UEI196477 UOE196477 UYA196477 VHW196477 VRS196477 WBO196477 WLK196477 WVG196477 IU262013 SQ262013 ACM262013 AMI262013 AWE262013 BGA262013 BPW262013 BZS262013 CJO262013 CTK262013 DDG262013 DNC262013 DWY262013 EGU262013 EQQ262013 FAM262013 FKI262013 FUE262013 GEA262013 GNW262013 GXS262013 HHO262013 HRK262013 IBG262013 ILC262013 IUY262013 JEU262013 JOQ262013 JYM262013 KII262013 KSE262013 LCA262013 LLW262013 LVS262013 MFO262013 MPK262013 MZG262013 NJC262013 NSY262013 OCU262013 OMQ262013 OWM262013 PGI262013 PQE262013 QAA262013 QJW262013 QTS262013 RDO262013 RNK262013 RXG262013 SHC262013 SQY262013 TAU262013 TKQ262013 TUM262013 UEI262013 UOE262013 UYA262013 VHW262013 VRS262013 WBO262013 WLK262013 WVG262013 IU327549 SQ327549 ACM327549 AMI327549 AWE327549 BGA327549 BPW327549 BZS327549 CJO327549 CTK327549 DDG327549 DNC327549 DWY327549 EGU327549 EQQ327549 FAM327549 FKI327549 FUE327549 GEA327549 GNW327549 GXS327549 HHO327549 HRK327549 IBG327549 ILC327549 IUY327549 JEU327549 JOQ327549 JYM327549 KII327549 KSE327549 LCA327549 LLW327549 LVS327549 MFO327549 MPK327549 MZG327549 NJC327549 NSY327549 OCU327549 OMQ327549 OWM327549 PGI327549 PQE327549 QAA327549 QJW327549 QTS327549 RDO327549 RNK327549 RXG327549 SHC327549 SQY327549 TAU327549 TKQ327549 TUM327549 UEI327549 UOE327549 UYA327549 VHW327549 VRS327549 WBO327549 WLK327549 WVG327549 IU393085 SQ393085 ACM393085 AMI393085 AWE393085 BGA393085 BPW393085 BZS393085 CJO393085 CTK393085 DDG393085 DNC393085 DWY393085 EGU393085 EQQ393085 FAM393085 FKI393085 FUE393085 GEA393085 GNW393085 GXS393085 HHO393085 HRK393085 IBG393085 ILC393085 IUY393085 JEU393085 JOQ393085 JYM393085 KII393085 KSE393085 LCA393085 LLW393085 LVS393085 MFO393085 MPK393085 MZG393085 NJC393085 NSY393085 OCU393085 OMQ393085 OWM393085 PGI393085 PQE393085 QAA393085 QJW393085 QTS393085 RDO393085 RNK393085 RXG393085 SHC393085 SQY393085 TAU393085 TKQ393085 TUM393085 UEI393085 UOE393085 UYA393085 VHW393085 VRS393085 WBO393085 WLK393085 WVG393085 IU458621 SQ458621 ACM458621 AMI458621 AWE458621 BGA458621 BPW458621 BZS458621 CJO458621 CTK458621 DDG458621 DNC458621 DWY458621 EGU458621 EQQ458621 FAM458621 FKI458621 FUE458621 GEA458621 GNW458621 GXS458621 HHO458621 HRK458621 IBG458621 ILC458621 IUY458621 JEU458621 JOQ458621 JYM458621 KII458621 KSE458621 LCA458621 LLW458621 LVS458621 MFO458621 MPK458621 MZG458621 NJC458621 NSY458621 OCU458621 OMQ458621 OWM458621 PGI458621 PQE458621 QAA458621 QJW458621 QTS458621 RDO458621 RNK458621 RXG458621 SHC458621 SQY458621 TAU458621 TKQ458621 TUM458621 UEI458621 UOE458621 UYA458621 VHW458621 VRS458621 WBO458621 WLK458621 WVG458621 IU524157 SQ524157 ACM524157 AMI524157 AWE524157 BGA524157 BPW524157 BZS524157 CJO524157 CTK524157 DDG524157 DNC524157 DWY524157 EGU524157 EQQ524157 FAM524157 FKI524157 FUE524157 GEA524157 GNW524157 GXS524157 HHO524157 HRK524157 IBG524157 ILC524157 IUY524157 JEU524157 JOQ524157 JYM524157 KII524157 KSE524157 LCA524157 LLW524157 LVS524157 MFO524157 MPK524157 MZG524157 NJC524157 NSY524157 OCU524157 OMQ524157 OWM524157 PGI524157 PQE524157 QAA524157 QJW524157 QTS524157 RDO524157 RNK524157 RXG524157 SHC524157 SQY524157 TAU524157 TKQ524157 TUM524157 UEI524157 UOE524157 UYA524157 VHW524157 VRS524157 WBO524157 WLK524157 WVG524157 IU589693 SQ589693 ACM589693 AMI589693 AWE589693 BGA589693 BPW589693 BZS589693 CJO589693 CTK589693 DDG589693 DNC589693 DWY589693 EGU589693 EQQ589693 FAM589693 FKI589693 FUE589693 GEA589693 GNW589693 GXS589693 HHO589693 HRK589693 IBG589693 ILC589693 IUY589693 JEU589693 JOQ589693 JYM589693 KII589693 KSE589693 LCA589693 LLW589693 LVS589693 MFO589693 MPK589693 MZG589693 NJC589693 NSY589693 OCU589693 OMQ589693 OWM589693 PGI589693 PQE589693 QAA589693 QJW589693 QTS589693 RDO589693 RNK589693 RXG589693 SHC589693 SQY589693 TAU589693 TKQ589693 TUM589693 UEI589693 UOE589693 UYA589693 VHW589693 VRS589693 WBO589693 WLK589693 WVG589693 IU655229 SQ655229 ACM655229 AMI655229 AWE655229 BGA655229 BPW655229 BZS655229 CJO655229 CTK655229 DDG655229 DNC655229 DWY655229 EGU655229 EQQ655229 FAM655229 FKI655229 FUE655229 GEA655229 GNW655229 GXS655229 HHO655229 HRK655229 IBG655229 ILC655229 IUY655229 JEU655229 JOQ655229 JYM655229 KII655229 KSE655229 LCA655229 LLW655229 LVS655229 MFO655229 MPK655229 MZG655229 NJC655229 NSY655229 OCU655229 OMQ655229 OWM655229 PGI655229 PQE655229 QAA655229 QJW655229 QTS655229 RDO655229 RNK655229 RXG655229 SHC655229 SQY655229 TAU655229 TKQ655229 TUM655229 UEI655229 UOE655229 UYA655229 VHW655229 VRS655229 WBO655229 WLK655229 WVG655229 IU720765 SQ720765 ACM720765 AMI720765 AWE720765 BGA720765 BPW720765 BZS720765 CJO720765 CTK720765 DDG720765 DNC720765 DWY720765 EGU720765 EQQ720765 FAM720765 FKI720765 FUE720765 GEA720765 GNW720765 GXS720765 HHO720765 HRK720765 IBG720765 ILC720765 IUY720765 JEU720765 JOQ720765 JYM720765 KII720765 KSE720765 LCA720765 LLW720765 LVS720765 MFO720765 MPK720765 MZG720765 NJC720765 NSY720765 OCU720765 OMQ720765 OWM720765 PGI720765 PQE720765 QAA720765 QJW720765 QTS720765 RDO720765 RNK720765 RXG720765 SHC720765 SQY720765 TAU720765 TKQ720765 TUM720765 UEI720765 UOE720765 UYA720765 VHW720765 VRS720765 WBO720765 WLK720765 WVG720765 IU786301 SQ786301 ACM786301 AMI786301 AWE786301 BGA786301 BPW786301 BZS786301 CJO786301 CTK786301 DDG786301 DNC786301 DWY786301 EGU786301 EQQ786301 FAM786301 FKI786301 FUE786301 GEA786301 GNW786301 GXS786301 HHO786301 HRK786301 IBG786301 ILC786301 IUY786301 JEU786301 JOQ786301 JYM786301 KII786301 KSE786301 LCA786301 LLW786301 LVS786301 MFO786301 MPK786301 MZG786301 NJC786301 NSY786301 OCU786301 OMQ786301 OWM786301 PGI786301 PQE786301 QAA786301 QJW786301 QTS786301 RDO786301 RNK786301 RXG786301 SHC786301 SQY786301 TAU786301 TKQ786301 TUM786301 UEI786301 UOE786301 UYA786301 VHW786301 VRS786301 WBO786301 WLK786301 WVG786301 IU851837 SQ851837 ACM851837 AMI851837 AWE851837 BGA851837 BPW851837 BZS851837 CJO851837 CTK851837 DDG851837 DNC851837 DWY851837 EGU851837 EQQ851837 FAM851837 FKI851837 FUE851837 GEA851837 GNW851837 GXS851837 HHO851837 HRK851837 IBG851837 ILC851837 IUY851837 JEU851837 JOQ851837 JYM851837 KII851837 KSE851837 LCA851837 LLW851837 LVS851837 MFO851837 MPK851837 MZG851837 NJC851837 NSY851837 OCU851837 OMQ851837 OWM851837 PGI851837 PQE851837 QAA851837 QJW851837 QTS851837 RDO851837 RNK851837 RXG851837 SHC851837 SQY851837 TAU851837 TKQ851837 TUM851837 UEI851837 UOE851837 UYA851837 VHW851837 VRS851837 WBO851837 WLK851837 WVG851837 IU917373 SQ917373 ACM917373 AMI917373 AWE917373 BGA917373 BPW917373 BZS917373 CJO917373 CTK917373 DDG917373 DNC917373 DWY917373 EGU917373 EQQ917373 FAM917373 FKI917373 FUE917373 GEA917373 GNW917373 GXS917373 HHO917373 HRK917373 IBG917373 ILC917373 IUY917373 JEU917373 JOQ917373 JYM917373 KII917373 KSE917373 LCA917373 LLW917373 LVS917373 MFO917373 MPK917373 MZG917373 NJC917373 NSY917373 OCU917373 OMQ917373 OWM917373 PGI917373 PQE917373 QAA917373 QJW917373 QTS917373 RDO917373 RNK917373 RXG917373 SHC917373 SQY917373 TAU917373 TKQ917373 TUM917373 UEI917373 UOE917373 UYA917373 VHW917373 VRS917373 WBO917373 WLK917373 WVG917373 IU982909 SQ982909 ACM982909 AMI982909 AWE982909 BGA982909 BPW982909 BZS982909 CJO982909 CTK982909 DDG982909 DNC982909 DWY982909 EGU982909 EQQ982909 FAM982909 FKI982909 FUE982909 GEA982909 GNW982909 GXS982909 HHO982909 HRK982909 IBG982909 ILC982909 IUY982909 JEU982909 JOQ982909 JYM982909 KII982909 KSE982909 LCA982909 LLW982909 LVS982909 MFO982909 MPK982909 MZG982909 NJC982909 NSY982909 OCU982909 OMQ982909 OWM982909 PGI982909 PQE982909 QAA982909 QJW982909 QTS982909 RDO982909 RNK982909 RXG982909 SHC982909 SQY982909 TAU982909 TKQ982909 TUM982909 UEI982909 UOE982909 UYA982909 VHW982909 VRS982909 WBO982909 WLK982909 WVG982909"/>
    <dataValidation allowBlank="1" showInputMessage="1" showErrorMessage="1" prompt="-6.294484" sqref="IW65401 SS65401 ACO65401 AMK65401 AWG65401 BGC65401 BPY65401 BZU65401 CJQ65401 CTM65401 DDI65401 DNE65401 DXA65401 EGW65401 EQS65401 FAO65401 FKK65401 FUG65401 GEC65401 GNY65401 GXU65401 HHQ65401 HRM65401 IBI65401 ILE65401 IVA65401 JEW65401 JOS65401 JYO65401 KIK65401 KSG65401 LCC65401 LLY65401 LVU65401 MFQ65401 MPM65401 MZI65401 NJE65401 NTA65401 OCW65401 OMS65401 OWO65401 PGK65401 PQG65401 QAC65401 QJY65401 QTU65401 RDQ65401 RNM65401 RXI65401 SHE65401 SRA65401 TAW65401 TKS65401 TUO65401 UEK65401 UOG65401 UYC65401 VHY65401 VRU65401 WBQ65401 WLM65401 WVI65401 IW130937 SS130937 ACO130937 AMK130937 AWG130937 BGC130937 BPY130937 BZU130937 CJQ130937 CTM130937 DDI130937 DNE130937 DXA130937 EGW130937 EQS130937 FAO130937 FKK130937 FUG130937 GEC130937 GNY130937 GXU130937 HHQ130937 HRM130937 IBI130937 ILE130937 IVA130937 JEW130937 JOS130937 JYO130937 KIK130937 KSG130937 LCC130937 LLY130937 LVU130937 MFQ130937 MPM130937 MZI130937 NJE130937 NTA130937 OCW130937 OMS130937 OWO130937 PGK130937 PQG130937 QAC130937 QJY130937 QTU130937 RDQ130937 RNM130937 RXI130937 SHE130937 SRA130937 TAW130937 TKS130937 TUO130937 UEK130937 UOG130937 UYC130937 VHY130937 VRU130937 WBQ130937 WLM130937 WVI130937 IW196473 SS196473 ACO196473 AMK196473 AWG196473 BGC196473 BPY196473 BZU196473 CJQ196473 CTM196473 DDI196473 DNE196473 DXA196473 EGW196473 EQS196473 FAO196473 FKK196473 FUG196473 GEC196473 GNY196473 GXU196473 HHQ196473 HRM196473 IBI196473 ILE196473 IVA196473 JEW196473 JOS196473 JYO196473 KIK196473 KSG196473 LCC196473 LLY196473 LVU196473 MFQ196473 MPM196473 MZI196473 NJE196473 NTA196473 OCW196473 OMS196473 OWO196473 PGK196473 PQG196473 QAC196473 QJY196473 QTU196473 RDQ196473 RNM196473 RXI196473 SHE196473 SRA196473 TAW196473 TKS196473 TUO196473 UEK196473 UOG196473 UYC196473 VHY196473 VRU196473 WBQ196473 WLM196473 WVI196473 IW262009 SS262009 ACO262009 AMK262009 AWG262009 BGC262009 BPY262009 BZU262009 CJQ262009 CTM262009 DDI262009 DNE262009 DXA262009 EGW262009 EQS262009 FAO262009 FKK262009 FUG262009 GEC262009 GNY262009 GXU262009 HHQ262009 HRM262009 IBI262009 ILE262009 IVA262009 JEW262009 JOS262009 JYO262009 KIK262009 KSG262009 LCC262009 LLY262009 LVU262009 MFQ262009 MPM262009 MZI262009 NJE262009 NTA262009 OCW262009 OMS262009 OWO262009 PGK262009 PQG262009 QAC262009 QJY262009 QTU262009 RDQ262009 RNM262009 RXI262009 SHE262009 SRA262009 TAW262009 TKS262009 TUO262009 UEK262009 UOG262009 UYC262009 VHY262009 VRU262009 WBQ262009 WLM262009 WVI262009 IW327545 SS327545 ACO327545 AMK327545 AWG327545 BGC327545 BPY327545 BZU327545 CJQ327545 CTM327545 DDI327545 DNE327545 DXA327545 EGW327545 EQS327545 FAO327545 FKK327545 FUG327545 GEC327545 GNY327545 GXU327545 HHQ327545 HRM327545 IBI327545 ILE327545 IVA327545 JEW327545 JOS327545 JYO327545 KIK327545 KSG327545 LCC327545 LLY327545 LVU327545 MFQ327545 MPM327545 MZI327545 NJE327545 NTA327545 OCW327545 OMS327545 OWO327545 PGK327545 PQG327545 QAC327545 QJY327545 QTU327545 RDQ327545 RNM327545 RXI327545 SHE327545 SRA327545 TAW327545 TKS327545 TUO327545 UEK327545 UOG327545 UYC327545 VHY327545 VRU327545 WBQ327545 WLM327545 WVI327545 IW393081 SS393081 ACO393081 AMK393081 AWG393081 BGC393081 BPY393081 BZU393081 CJQ393081 CTM393081 DDI393081 DNE393081 DXA393081 EGW393081 EQS393081 FAO393081 FKK393081 FUG393081 GEC393081 GNY393081 GXU393081 HHQ393081 HRM393081 IBI393081 ILE393081 IVA393081 JEW393081 JOS393081 JYO393081 KIK393081 KSG393081 LCC393081 LLY393081 LVU393081 MFQ393081 MPM393081 MZI393081 NJE393081 NTA393081 OCW393081 OMS393081 OWO393081 PGK393081 PQG393081 QAC393081 QJY393081 QTU393081 RDQ393081 RNM393081 RXI393081 SHE393081 SRA393081 TAW393081 TKS393081 TUO393081 UEK393081 UOG393081 UYC393081 VHY393081 VRU393081 WBQ393081 WLM393081 WVI393081 IW458617 SS458617 ACO458617 AMK458617 AWG458617 BGC458617 BPY458617 BZU458617 CJQ458617 CTM458617 DDI458617 DNE458617 DXA458617 EGW458617 EQS458617 FAO458617 FKK458617 FUG458617 GEC458617 GNY458617 GXU458617 HHQ458617 HRM458617 IBI458617 ILE458617 IVA458617 JEW458617 JOS458617 JYO458617 KIK458617 KSG458617 LCC458617 LLY458617 LVU458617 MFQ458617 MPM458617 MZI458617 NJE458617 NTA458617 OCW458617 OMS458617 OWO458617 PGK458617 PQG458617 QAC458617 QJY458617 QTU458617 RDQ458617 RNM458617 RXI458617 SHE458617 SRA458617 TAW458617 TKS458617 TUO458617 UEK458617 UOG458617 UYC458617 VHY458617 VRU458617 WBQ458617 WLM458617 WVI458617 IW524153 SS524153 ACO524153 AMK524153 AWG524153 BGC524153 BPY524153 BZU524153 CJQ524153 CTM524153 DDI524153 DNE524153 DXA524153 EGW524153 EQS524153 FAO524153 FKK524153 FUG524153 GEC524153 GNY524153 GXU524153 HHQ524153 HRM524153 IBI524153 ILE524153 IVA524153 JEW524153 JOS524153 JYO524153 KIK524153 KSG524153 LCC524153 LLY524153 LVU524153 MFQ524153 MPM524153 MZI524153 NJE524153 NTA524153 OCW524153 OMS524153 OWO524153 PGK524153 PQG524153 QAC524153 QJY524153 QTU524153 RDQ524153 RNM524153 RXI524153 SHE524153 SRA524153 TAW524153 TKS524153 TUO524153 UEK524153 UOG524153 UYC524153 VHY524153 VRU524153 WBQ524153 WLM524153 WVI524153 IW589689 SS589689 ACO589689 AMK589689 AWG589689 BGC589689 BPY589689 BZU589689 CJQ589689 CTM589689 DDI589689 DNE589689 DXA589689 EGW589689 EQS589689 FAO589689 FKK589689 FUG589689 GEC589689 GNY589689 GXU589689 HHQ589689 HRM589689 IBI589689 ILE589689 IVA589689 JEW589689 JOS589689 JYO589689 KIK589689 KSG589689 LCC589689 LLY589689 LVU589689 MFQ589689 MPM589689 MZI589689 NJE589689 NTA589689 OCW589689 OMS589689 OWO589689 PGK589689 PQG589689 QAC589689 QJY589689 QTU589689 RDQ589689 RNM589689 RXI589689 SHE589689 SRA589689 TAW589689 TKS589689 TUO589689 UEK589689 UOG589689 UYC589689 VHY589689 VRU589689 WBQ589689 WLM589689 WVI589689 IW655225 SS655225 ACO655225 AMK655225 AWG655225 BGC655225 BPY655225 BZU655225 CJQ655225 CTM655225 DDI655225 DNE655225 DXA655225 EGW655225 EQS655225 FAO655225 FKK655225 FUG655225 GEC655225 GNY655225 GXU655225 HHQ655225 HRM655225 IBI655225 ILE655225 IVA655225 JEW655225 JOS655225 JYO655225 KIK655225 KSG655225 LCC655225 LLY655225 LVU655225 MFQ655225 MPM655225 MZI655225 NJE655225 NTA655225 OCW655225 OMS655225 OWO655225 PGK655225 PQG655225 QAC655225 QJY655225 QTU655225 RDQ655225 RNM655225 RXI655225 SHE655225 SRA655225 TAW655225 TKS655225 TUO655225 UEK655225 UOG655225 UYC655225 VHY655225 VRU655225 WBQ655225 WLM655225 WVI655225 IW720761 SS720761 ACO720761 AMK720761 AWG720761 BGC720761 BPY720761 BZU720761 CJQ720761 CTM720761 DDI720761 DNE720761 DXA720761 EGW720761 EQS720761 FAO720761 FKK720761 FUG720761 GEC720761 GNY720761 GXU720761 HHQ720761 HRM720761 IBI720761 ILE720761 IVA720761 JEW720761 JOS720761 JYO720761 KIK720761 KSG720761 LCC720761 LLY720761 LVU720761 MFQ720761 MPM720761 MZI720761 NJE720761 NTA720761 OCW720761 OMS720761 OWO720761 PGK720761 PQG720761 QAC720761 QJY720761 QTU720761 RDQ720761 RNM720761 RXI720761 SHE720761 SRA720761 TAW720761 TKS720761 TUO720761 UEK720761 UOG720761 UYC720761 VHY720761 VRU720761 WBQ720761 WLM720761 WVI720761 IW786297 SS786297 ACO786297 AMK786297 AWG786297 BGC786297 BPY786297 BZU786297 CJQ786297 CTM786297 DDI786297 DNE786297 DXA786297 EGW786297 EQS786297 FAO786297 FKK786297 FUG786297 GEC786297 GNY786297 GXU786297 HHQ786297 HRM786297 IBI786297 ILE786297 IVA786297 JEW786297 JOS786297 JYO786297 KIK786297 KSG786297 LCC786297 LLY786297 LVU786297 MFQ786297 MPM786297 MZI786297 NJE786297 NTA786297 OCW786297 OMS786297 OWO786297 PGK786297 PQG786297 QAC786297 QJY786297 QTU786297 RDQ786297 RNM786297 RXI786297 SHE786297 SRA786297 TAW786297 TKS786297 TUO786297 UEK786297 UOG786297 UYC786297 VHY786297 VRU786297 WBQ786297 WLM786297 WVI786297 IW851833 SS851833 ACO851833 AMK851833 AWG851833 BGC851833 BPY851833 BZU851833 CJQ851833 CTM851833 DDI851833 DNE851833 DXA851833 EGW851833 EQS851833 FAO851833 FKK851833 FUG851833 GEC851833 GNY851833 GXU851833 HHQ851833 HRM851833 IBI851833 ILE851833 IVA851833 JEW851833 JOS851833 JYO851833 KIK851833 KSG851833 LCC851833 LLY851833 LVU851833 MFQ851833 MPM851833 MZI851833 NJE851833 NTA851833 OCW851833 OMS851833 OWO851833 PGK851833 PQG851833 QAC851833 QJY851833 QTU851833 RDQ851833 RNM851833 RXI851833 SHE851833 SRA851833 TAW851833 TKS851833 TUO851833 UEK851833 UOG851833 UYC851833 VHY851833 VRU851833 WBQ851833 WLM851833 WVI851833 IW917369 SS917369 ACO917369 AMK917369 AWG917369 BGC917369 BPY917369 BZU917369 CJQ917369 CTM917369 DDI917369 DNE917369 DXA917369 EGW917369 EQS917369 FAO917369 FKK917369 FUG917369 GEC917369 GNY917369 GXU917369 HHQ917369 HRM917369 IBI917369 ILE917369 IVA917369 JEW917369 JOS917369 JYO917369 KIK917369 KSG917369 LCC917369 LLY917369 LVU917369 MFQ917369 MPM917369 MZI917369 NJE917369 NTA917369 OCW917369 OMS917369 OWO917369 PGK917369 PQG917369 QAC917369 QJY917369 QTU917369 RDQ917369 RNM917369 RXI917369 SHE917369 SRA917369 TAW917369 TKS917369 TUO917369 UEK917369 UOG917369 UYC917369 VHY917369 VRU917369 WBQ917369 WLM917369 WVI917369 IW982905 SS982905 ACO982905 AMK982905 AWG982905 BGC982905 BPY982905 BZU982905 CJQ982905 CTM982905 DDI982905 DNE982905 DXA982905 EGW982905 EQS982905 FAO982905 FKK982905 FUG982905 GEC982905 GNY982905 GXU982905 HHQ982905 HRM982905 IBI982905 ILE982905 IVA982905 JEW982905 JOS982905 JYO982905 KIK982905 KSG982905 LCC982905 LLY982905 LVU982905 MFQ982905 MPM982905 MZI982905 NJE982905 NTA982905 OCW982905 OMS982905 OWO982905 PGK982905 PQG982905 QAC982905 QJY982905 QTU982905 RDQ982905 RNM982905 RXI982905 SHE982905 SRA982905 TAW982905 TKS982905 TUO982905 UEK982905 UOG982905 UYC982905 VHY982905 VRU982905 WBQ982905 WLM982905 WVI982905"/>
    <dataValidation allowBlank="1" showInputMessage="1" showErrorMessage="1" prompt="53.347901" sqref="IU65401 SQ65401 ACM65401 AMI65401 AWE65401 BGA65401 BPW65401 BZS65401 CJO65401 CTK65401 DDG65401 DNC65401 DWY65401 EGU65401 EQQ65401 FAM65401 FKI65401 FUE65401 GEA65401 GNW65401 GXS65401 HHO65401 HRK65401 IBG65401 ILC65401 IUY65401 JEU65401 JOQ65401 JYM65401 KII65401 KSE65401 LCA65401 LLW65401 LVS65401 MFO65401 MPK65401 MZG65401 NJC65401 NSY65401 OCU65401 OMQ65401 OWM65401 PGI65401 PQE65401 QAA65401 QJW65401 QTS65401 RDO65401 RNK65401 RXG65401 SHC65401 SQY65401 TAU65401 TKQ65401 TUM65401 UEI65401 UOE65401 UYA65401 VHW65401 VRS65401 WBO65401 WLK65401 WVG65401 IU130937 SQ130937 ACM130937 AMI130937 AWE130937 BGA130937 BPW130937 BZS130937 CJO130937 CTK130937 DDG130937 DNC130937 DWY130937 EGU130937 EQQ130937 FAM130937 FKI130937 FUE130937 GEA130937 GNW130937 GXS130937 HHO130937 HRK130937 IBG130937 ILC130937 IUY130937 JEU130937 JOQ130937 JYM130937 KII130937 KSE130937 LCA130937 LLW130937 LVS130937 MFO130937 MPK130937 MZG130937 NJC130937 NSY130937 OCU130937 OMQ130937 OWM130937 PGI130937 PQE130937 QAA130937 QJW130937 QTS130937 RDO130937 RNK130937 RXG130937 SHC130937 SQY130937 TAU130937 TKQ130937 TUM130937 UEI130937 UOE130937 UYA130937 VHW130937 VRS130937 WBO130937 WLK130937 WVG130937 IU196473 SQ196473 ACM196473 AMI196473 AWE196473 BGA196473 BPW196473 BZS196473 CJO196473 CTK196473 DDG196473 DNC196473 DWY196473 EGU196473 EQQ196473 FAM196473 FKI196473 FUE196473 GEA196473 GNW196473 GXS196473 HHO196473 HRK196473 IBG196473 ILC196473 IUY196473 JEU196473 JOQ196473 JYM196473 KII196473 KSE196473 LCA196473 LLW196473 LVS196473 MFO196473 MPK196473 MZG196473 NJC196473 NSY196473 OCU196473 OMQ196473 OWM196473 PGI196473 PQE196473 QAA196473 QJW196473 QTS196473 RDO196473 RNK196473 RXG196473 SHC196473 SQY196473 TAU196473 TKQ196473 TUM196473 UEI196473 UOE196473 UYA196473 VHW196473 VRS196473 WBO196473 WLK196473 WVG196473 IU262009 SQ262009 ACM262009 AMI262009 AWE262009 BGA262009 BPW262009 BZS262009 CJO262009 CTK262009 DDG262009 DNC262009 DWY262009 EGU262009 EQQ262009 FAM262009 FKI262009 FUE262009 GEA262009 GNW262009 GXS262009 HHO262009 HRK262009 IBG262009 ILC262009 IUY262009 JEU262009 JOQ262009 JYM262009 KII262009 KSE262009 LCA262009 LLW262009 LVS262009 MFO262009 MPK262009 MZG262009 NJC262009 NSY262009 OCU262009 OMQ262009 OWM262009 PGI262009 PQE262009 QAA262009 QJW262009 QTS262009 RDO262009 RNK262009 RXG262009 SHC262009 SQY262009 TAU262009 TKQ262009 TUM262009 UEI262009 UOE262009 UYA262009 VHW262009 VRS262009 WBO262009 WLK262009 WVG262009 IU327545 SQ327545 ACM327545 AMI327545 AWE327545 BGA327545 BPW327545 BZS327545 CJO327545 CTK327545 DDG327545 DNC327545 DWY327545 EGU327545 EQQ327545 FAM327545 FKI327545 FUE327545 GEA327545 GNW327545 GXS327545 HHO327545 HRK327545 IBG327545 ILC327545 IUY327545 JEU327545 JOQ327545 JYM327545 KII327545 KSE327545 LCA327545 LLW327545 LVS327545 MFO327545 MPK327545 MZG327545 NJC327545 NSY327545 OCU327545 OMQ327545 OWM327545 PGI327545 PQE327545 QAA327545 QJW327545 QTS327545 RDO327545 RNK327545 RXG327545 SHC327545 SQY327545 TAU327545 TKQ327545 TUM327545 UEI327545 UOE327545 UYA327545 VHW327545 VRS327545 WBO327545 WLK327545 WVG327545 IU393081 SQ393081 ACM393081 AMI393081 AWE393081 BGA393081 BPW393081 BZS393081 CJO393081 CTK393081 DDG393081 DNC393081 DWY393081 EGU393081 EQQ393081 FAM393081 FKI393081 FUE393081 GEA393081 GNW393081 GXS393081 HHO393081 HRK393081 IBG393081 ILC393081 IUY393081 JEU393081 JOQ393081 JYM393081 KII393081 KSE393081 LCA393081 LLW393081 LVS393081 MFO393081 MPK393081 MZG393081 NJC393081 NSY393081 OCU393081 OMQ393081 OWM393081 PGI393081 PQE393081 QAA393081 QJW393081 QTS393081 RDO393081 RNK393081 RXG393081 SHC393081 SQY393081 TAU393081 TKQ393081 TUM393081 UEI393081 UOE393081 UYA393081 VHW393081 VRS393081 WBO393081 WLK393081 WVG393081 IU458617 SQ458617 ACM458617 AMI458617 AWE458617 BGA458617 BPW458617 BZS458617 CJO458617 CTK458617 DDG458617 DNC458617 DWY458617 EGU458617 EQQ458617 FAM458617 FKI458617 FUE458617 GEA458617 GNW458617 GXS458617 HHO458617 HRK458617 IBG458617 ILC458617 IUY458617 JEU458617 JOQ458617 JYM458617 KII458617 KSE458617 LCA458617 LLW458617 LVS458617 MFO458617 MPK458617 MZG458617 NJC458617 NSY458617 OCU458617 OMQ458617 OWM458617 PGI458617 PQE458617 QAA458617 QJW458617 QTS458617 RDO458617 RNK458617 RXG458617 SHC458617 SQY458617 TAU458617 TKQ458617 TUM458617 UEI458617 UOE458617 UYA458617 VHW458617 VRS458617 WBO458617 WLK458617 WVG458617 IU524153 SQ524153 ACM524153 AMI524153 AWE524153 BGA524153 BPW524153 BZS524153 CJO524153 CTK524153 DDG524153 DNC524153 DWY524153 EGU524153 EQQ524153 FAM524153 FKI524153 FUE524153 GEA524153 GNW524153 GXS524153 HHO524153 HRK524153 IBG524153 ILC524153 IUY524153 JEU524153 JOQ524153 JYM524153 KII524153 KSE524153 LCA524153 LLW524153 LVS524153 MFO524153 MPK524153 MZG524153 NJC524153 NSY524153 OCU524153 OMQ524153 OWM524153 PGI524153 PQE524153 QAA524153 QJW524153 QTS524153 RDO524153 RNK524153 RXG524153 SHC524153 SQY524153 TAU524153 TKQ524153 TUM524153 UEI524153 UOE524153 UYA524153 VHW524153 VRS524153 WBO524153 WLK524153 WVG524153 IU589689 SQ589689 ACM589689 AMI589689 AWE589689 BGA589689 BPW589689 BZS589689 CJO589689 CTK589689 DDG589689 DNC589689 DWY589689 EGU589689 EQQ589689 FAM589689 FKI589689 FUE589689 GEA589689 GNW589689 GXS589689 HHO589689 HRK589689 IBG589689 ILC589689 IUY589689 JEU589689 JOQ589689 JYM589689 KII589689 KSE589689 LCA589689 LLW589689 LVS589689 MFO589689 MPK589689 MZG589689 NJC589689 NSY589689 OCU589689 OMQ589689 OWM589689 PGI589689 PQE589689 QAA589689 QJW589689 QTS589689 RDO589689 RNK589689 RXG589689 SHC589689 SQY589689 TAU589689 TKQ589689 TUM589689 UEI589689 UOE589689 UYA589689 VHW589689 VRS589689 WBO589689 WLK589689 WVG589689 IU655225 SQ655225 ACM655225 AMI655225 AWE655225 BGA655225 BPW655225 BZS655225 CJO655225 CTK655225 DDG655225 DNC655225 DWY655225 EGU655225 EQQ655225 FAM655225 FKI655225 FUE655225 GEA655225 GNW655225 GXS655225 HHO655225 HRK655225 IBG655225 ILC655225 IUY655225 JEU655225 JOQ655225 JYM655225 KII655225 KSE655225 LCA655225 LLW655225 LVS655225 MFO655225 MPK655225 MZG655225 NJC655225 NSY655225 OCU655225 OMQ655225 OWM655225 PGI655225 PQE655225 QAA655225 QJW655225 QTS655225 RDO655225 RNK655225 RXG655225 SHC655225 SQY655225 TAU655225 TKQ655225 TUM655225 UEI655225 UOE655225 UYA655225 VHW655225 VRS655225 WBO655225 WLK655225 WVG655225 IU720761 SQ720761 ACM720761 AMI720761 AWE720761 BGA720761 BPW720761 BZS720761 CJO720761 CTK720761 DDG720761 DNC720761 DWY720761 EGU720761 EQQ720761 FAM720761 FKI720761 FUE720761 GEA720761 GNW720761 GXS720761 HHO720761 HRK720761 IBG720761 ILC720761 IUY720761 JEU720761 JOQ720761 JYM720761 KII720761 KSE720761 LCA720761 LLW720761 LVS720761 MFO720761 MPK720761 MZG720761 NJC720761 NSY720761 OCU720761 OMQ720761 OWM720761 PGI720761 PQE720761 QAA720761 QJW720761 QTS720761 RDO720761 RNK720761 RXG720761 SHC720761 SQY720761 TAU720761 TKQ720761 TUM720761 UEI720761 UOE720761 UYA720761 VHW720761 VRS720761 WBO720761 WLK720761 WVG720761 IU786297 SQ786297 ACM786297 AMI786297 AWE786297 BGA786297 BPW786297 BZS786297 CJO786297 CTK786297 DDG786297 DNC786297 DWY786297 EGU786297 EQQ786297 FAM786297 FKI786297 FUE786297 GEA786297 GNW786297 GXS786297 HHO786297 HRK786297 IBG786297 ILC786297 IUY786297 JEU786297 JOQ786297 JYM786297 KII786297 KSE786297 LCA786297 LLW786297 LVS786297 MFO786297 MPK786297 MZG786297 NJC786297 NSY786297 OCU786297 OMQ786297 OWM786297 PGI786297 PQE786297 QAA786297 QJW786297 QTS786297 RDO786297 RNK786297 RXG786297 SHC786297 SQY786297 TAU786297 TKQ786297 TUM786297 UEI786297 UOE786297 UYA786297 VHW786297 VRS786297 WBO786297 WLK786297 WVG786297 IU851833 SQ851833 ACM851833 AMI851833 AWE851833 BGA851833 BPW851833 BZS851833 CJO851833 CTK851833 DDG851833 DNC851833 DWY851833 EGU851833 EQQ851833 FAM851833 FKI851833 FUE851833 GEA851833 GNW851833 GXS851833 HHO851833 HRK851833 IBG851833 ILC851833 IUY851833 JEU851833 JOQ851833 JYM851833 KII851833 KSE851833 LCA851833 LLW851833 LVS851833 MFO851833 MPK851833 MZG851833 NJC851833 NSY851833 OCU851833 OMQ851833 OWM851833 PGI851833 PQE851833 QAA851833 QJW851833 QTS851833 RDO851833 RNK851833 RXG851833 SHC851833 SQY851833 TAU851833 TKQ851833 TUM851833 UEI851833 UOE851833 UYA851833 VHW851833 VRS851833 WBO851833 WLK851833 WVG851833 IU917369 SQ917369 ACM917369 AMI917369 AWE917369 BGA917369 BPW917369 BZS917369 CJO917369 CTK917369 DDG917369 DNC917369 DWY917369 EGU917369 EQQ917369 FAM917369 FKI917369 FUE917369 GEA917369 GNW917369 GXS917369 HHO917369 HRK917369 IBG917369 ILC917369 IUY917369 JEU917369 JOQ917369 JYM917369 KII917369 KSE917369 LCA917369 LLW917369 LVS917369 MFO917369 MPK917369 MZG917369 NJC917369 NSY917369 OCU917369 OMQ917369 OWM917369 PGI917369 PQE917369 QAA917369 QJW917369 QTS917369 RDO917369 RNK917369 RXG917369 SHC917369 SQY917369 TAU917369 TKQ917369 TUM917369 UEI917369 UOE917369 UYA917369 VHW917369 VRS917369 WBO917369 WLK917369 WVG917369 IU982905 SQ982905 ACM982905 AMI982905 AWE982905 BGA982905 BPW982905 BZS982905 CJO982905 CTK982905 DDG982905 DNC982905 DWY982905 EGU982905 EQQ982905 FAM982905 FKI982905 FUE982905 GEA982905 GNW982905 GXS982905 HHO982905 HRK982905 IBG982905 ILC982905 IUY982905 JEU982905 JOQ982905 JYM982905 KII982905 KSE982905 LCA982905 LLW982905 LVS982905 MFO982905 MPK982905 MZG982905 NJC982905 NSY982905 OCU982905 OMQ982905 OWM982905 PGI982905 PQE982905 QAA982905 QJW982905 QTS982905 RDO982905 RNK982905 RXG982905 SHC982905 SQY982905 TAU982905 TKQ982905 TUM982905 UEI982905 UOE982905 UYA982905 VHW982905 VRS982905 WBO982905 WLK982905 WVG982905"/>
  </dataValidations>
  <pageMargins left="0.25" right="0.25" top="0.75" bottom="0.75" header="0.3" footer="0.3"/>
  <pageSetup paperSize="9" scale="75" fitToWidth="0" fitToHeight="3"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rowBreaks count="1" manualBreakCount="1">
    <brk id="42"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55"/>
  <sheetViews>
    <sheetView view="pageLayout" topLeftCell="C1" zoomScale="80" zoomScaleNormal="55" zoomScaleSheetLayoutView="55" zoomScalePageLayoutView="80" workbookViewId="0">
      <selection activeCell="P5" sqref="P5:BD5"/>
    </sheetView>
  </sheetViews>
  <sheetFormatPr defaultColWidth="8.88671875" defaultRowHeight="13.8" x14ac:dyDescent="0.3"/>
  <cols>
    <col min="1" max="1" width="2.6640625" style="287" hidden="1" customWidth="1"/>
    <col min="2" max="2" width="30" style="287" hidden="1" customWidth="1"/>
    <col min="3" max="3" width="12.109375" style="287" customWidth="1"/>
    <col min="4" max="4" width="19.5546875" style="287" bestFit="1" customWidth="1"/>
    <col min="5" max="13" width="12.6640625" style="287" customWidth="1"/>
    <col min="14" max="15" width="2.6640625" style="287" hidden="1" customWidth="1"/>
    <col min="16" max="17" width="9.88671875" style="287" hidden="1" customWidth="1"/>
    <col min="18" max="18" width="10.6640625" style="287" hidden="1" customWidth="1"/>
    <col min="19" max="19" width="11.109375" style="287" hidden="1" customWidth="1"/>
    <col min="20" max="20" width="10.6640625" style="287" hidden="1" customWidth="1"/>
    <col min="21" max="21" width="11.109375" style="287" hidden="1" customWidth="1"/>
    <col min="22" max="25" width="10.6640625" style="287" hidden="1" customWidth="1"/>
    <col min="26" max="26" width="11.109375" style="287" hidden="1" customWidth="1"/>
    <col min="27" max="27" width="10.6640625" style="287" hidden="1" customWidth="1"/>
    <col min="28" max="30" width="10.33203125" style="287" hidden="1" customWidth="1"/>
    <col min="31" max="31" width="10.88671875" style="287" hidden="1" customWidth="1"/>
    <col min="32" max="33" width="11.109375" style="287" hidden="1" customWidth="1"/>
    <col min="34" max="36" width="13.5546875" style="287" hidden="1" customWidth="1"/>
    <col min="37" max="37" width="11.109375" style="287" hidden="1" customWidth="1"/>
    <col min="38" max="38" width="10.6640625" style="287" hidden="1" customWidth="1"/>
    <col min="39" max="41" width="11.109375" style="287" hidden="1" customWidth="1"/>
    <col min="42" max="42" width="10.6640625" style="287" hidden="1" customWidth="1"/>
    <col min="43" max="43" width="11.109375" style="287" hidden="1" customWidth="1"/>
    <col min="44" max="45" width="10.6640625" style="287" hidden="1" customWidth="1"/>
    <col min="46" max="48" width="11.109375" style="287" hidden="1" customWidth="1"/>
    <col min="49" max="49" width="10.6640625" style="287" hidden="1" customWidth="1"/>
    <col min="50" max="50" width="11.109375" style="287" hidden="1" customWidth="1"/>
    <col min="51" max="51" width="10.6640625" style="287" hidden="1" customWidth="1"/>
    <col min="52" max="52" width="11.109375" style="287" hidden="1" customWidth="1"/>
    <col min="53" max="53" width="10.33203125" style="287" hidden="1" customWidth="1"/>
    <col min="54" max="56" width="11.109375" style="287" hidden="1" customWidth="1"/>
    <col min="57" max="57" width="2.88671875" style="287" hidden="1" customWidth="1"/>
    <col min="58" max="58" width="16.6640625" style="287" hidden="1" customWidth="1"/>
    <col min="59" max="61" width="8.88671875" style="287" hidden="1" customWidth="1"/>
    <col min="62" max="62" width="12" style="287" hidden="1" customWidth="1"/>
    <col min="63" max="63" width="8.88671875" style="287" hidden="1" customWidth="1"/>
    <col min="64" max="67" width="8" style="287" hidden="1" customWidth="1"/>
    <col min="68" max="69" width="8.44140625" style="287" hidden="1" customWidth="1"/>
    <col min="70" max="76" width="8" style="287" hidden="1" customWidth="1"/>
    <col min="77" max="79" width="8.44140625" style="287" hidden="1" customWidth="1"/>
    <col min="80" max="81" width="8" style="287" hidden="1" customWidth="1"/>
    <col min="82" max="82" width="8.44140625" style="287" hidden="1" customWidth="1"/>
    <col min="83" max="89" width="8" style="287" hidden="1" customWidth="1"/>
    <col min="90" max="90" width="8.88671875" style="287" hidden="1" customWidth="1"/>
    <col min="91" max="95" width="8.44140625" style="287" hidden="1" customWidth="1"/>
    <col min="96" max="96" width="13.6640625" style="287" hidden="1" customWidth="1"/>
    <col min="97" max="98" width="8.44140625" style="287" hidden="1" customWidth="1"/>
    <col min="99" max="103" width="8" style="287" hidden="1" customWidth="1"/>
    <col min="104" max="16384" width="8.88671875" style="287"/>
  </cols>
  <sheetData>
    <row r="1" spans="1:103" x14ac:dyDescent="0.3">
      <c r="A1" s="418"/>
      <c r="B1" s="418"/>
      <c r="C1" s="418"/>
      <c r="D1" s="418"/>
      <c r="E1" s="418"/>
      <c r="F1" s="418"/>
      <c r="G1" s="418"/>
      <c r="H1" s="418"/>
      <c r="I1" s="418"/>
      <c r="J1" s="418"/>
      <c r="K1" s="418"/>
      <c r="L1" s="418"/>
      <c r="M1" s="418"/>
      <c r="N1" s="418"/>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row>
    <row r="2" spans="1:103" ht="15.6" x14ac:dyDescent="0.3">
      <c r="A2" s="335"/>
      <c r="B2" s="335"/>
      <c r="C2" s="589" t="s">
        <v>450</v>
      </c>
      <c r="D2" s="335"/>
      <c r="E2" s="335"/>
      <c r="F2" s="335"/>
      <c r="G2" s="335"/>
      <c r="H2" s="335"/>
      <c r="I2" s="335"/>
      <c r="J2" s="335"/>
      <c r="K2" s="335"/>
      <c r="L2" s="335"/>
      <c r="M2" s="335"/>
      <c r="N2" s="288"/>
    </row>
    <row r="3" spans="1:103" ht="15" x14ac:dyDescent="0.3">
      <c r="A3" s="335"/>
      <c r="B3" s="335"/>
      <c r="C3" s="739" t="str">
        <f>Overview!$B$7</f>
        <v>Grove Park Drive</v>
      </c>
      <c r="D3" s="335"/>
      <c r="E3" s="335"/>
      <c r="F3" s="335"/>
      <c r="G3" s="335"/>
      <c r="H3" s="335"/>
      <c r="I3" s="335"/>
      <c r="J3" s="335"/>
      <c r="K3" s="335"/>
      <c r="L3" s="335"/>
      <c r="M3" s="335"/>
      <c r="N3" s="288"/>
    </row>
    <row r="4" spans="1:103" ht="15" thickBot="1" x14ac:dyDescent="0.35">
      <c r="A4" s="335"/>
      <c r="B4" s="335"/>
      <c r="C4" s="335"/>
      <c r="D4" s="335"/>
      <c r="E4" s="335"/>
      <c r="F4" s="335"/>
      <c r="G4" s="335"/>
      <c r="H4" s="335"/>
      <c r="I4" s="335"/>
      <c r="J4" s="335"/>
      <c r="K4" s="335"/>
      <c r="L4" s="335"/>
      <c r="M4" s="335"/>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9"/>
      <c r="BE4" s="418"/>
      <c r="BF4" s="418"/>
      <c r="BG4" s="533"/>
      <c r="BH4" s="533"/>
      <c r="BI4" s="533"/>
      <c r="BJ4" s="533"/>
      <c r="BK4" s="533"/>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M4" s="288"/>
      <c r="CN4" s="288"/>
      <c r="CO4" s="288"/>
      <c r="CP4" s="288"/>
      <c r="CQ4" s="288"/>
      <c r="CR4" s="288"/>
      <c r="CS4" s="288"/>
      <c r="CT4" s="288"/>
      <c r="CU4" s="288"/>
      <c r="CV4" s="288"/>
      <c r="CW4" s="288"/>
      <c r="CX4" s="288"/>
      <c r="CY4" s="288"/>
    </row>
    <row r="5" spans="1:103" ht="14.4" customHeight="1" thickBot="1" x14ac:dyDescent="0.35">
      <c r="A5" s="335"/>
      <c r="B5" s="335"/>
      <c r="C5" s="1573" t="s">
        <v>275</v>
      </c>
      <c r="D5" s="1574"/>
      <c r="E5" s="1574"/>
      <c r="F5" s="1574"/>
      <c r="G5" s="1574"/>
      <c r="H5" s="1574"/>
      <c r="I5" s="1574"/>
      <c r="J5" s="1574"/>
      <c r="K5" s="1574"/>
      <c r="L5" s="1574"/>
      <c r="M5" s="1575"/>
      <c r="N5" s="377"/>
      <c r="O5" s="335"/>
      <c r="P5" s="1543" t="s">
        <v>280</v>
      </c>
      <c r="Q5" s="1544"/>
      <c r="R5" s="1544"/>
      <c r="S5" s="1544"/>
      <c r="T5" s="1544"/>
      <c r="U5" s="1544"/>
      <c r="V5" s="1544"/>
      <c r="W5" s="1544"/>
      <c r="X5" s="1544"/>
      <c r="Y5" s="1544"/>
      <c r="Z5" s="1544"/>
      <c r="AA5" s="1544"/>
      <c r="AB5" s="1544"/>
      <c r="AC5" s="1544"/>
      <c r="AD5" s="1544"/>
      <c r="AE5" s="1544"/>
      <c r="AF5" s="1544"/>
      <c r="AG5" s="1544"/>
      <c r="AH5" s="1544"/>
      <c r="AI5" s="1544"/>
      <c r="AJ5" s="1544"/>
      <c r="AK5" s="1544"/>
      <c r="AL5" s="1544"/>
      <c r="AM5" s="1544"/>
      <c r="AN5" s="1544"/>
      <c r="AO5" s="1544"/>
      <c r="AP5" s="1544"/>
      <c r="AQ5" s="1544"/>
      <c r="AR5" s="1544"/>
      <c r="AS5" s="1544"/>
      <c r="AT5" s="1544"/>
      <c r="AU5" s="1544"/>
      <c r="AV5" s="1544"/>
      <c r="AW5" s="1544"/>
      <c r="AX5" s="1544"/>
      <c r="AY5" s="1544"/>
      <c r="AZ5" s="1544"/>
      <c r="BA5" s="1544"/>
      <c r="BB5" s="1544"/>
      <c r="BC5" s="1544"/>
      <c r="BD5" s="1545"/>
      <c r="BE5" s="335"/>
      <c r="BF5" s="288"/>
      <c r="BG5" s="156"/>
      <c r="BH5" s="1534" t="s">
        <v>95</v>
      </c>
      <c r="BI5" s="1536" t="s">
        <v>182</v>
      </c>
      <c r="BJ5" s="430" t="s">
        <v>186</v>
      </c>
      <c r="BK5" s="427" t="s">
        <v>181</v>
      </c>
      <c r="BL5" s="288" t="s">
        <v>326</v>
      </c>
      <c r="BM5" s="288"/>
      <c r="BN5" s="288"/>
      <c r="BO5" s="288"/>
      <c r="BP5" s="288"/>
      <c r="BQ5" s="288"/>
      <c r="BR5" s="288"/>
      <c r="BS5" s="288"/>
      <c r="BT5" s="288"/>
      <c r="BU5" s="288"/>
      <c r="BV5" s="288"/>
      <c r="BW5" s="288"/>
      <c r="BX5" s="288"/>
      <c r="BY5" s="288" t="s">
        <v>327</v>
      </c>
      <c r="BZ5" s="288"/>
      <c r="CA5" s="288"/>
      <c r="CB5" s="288"/>
      <c r="CC5" s="288"/>
      <c r="CD5" s="288"/>
      <c r="CE5" s="288"/>
      <c r="CF5" s="288"/>
      <c r="CG5" s="288"/>
      <c r="CH5" s="288"/>
      <c r="CI5" s="288"/>
      <c r="CJ5" s="288"/>
      <c r="CK5" s="288"/>
      <c r="CM5" s="288" t="s">
        <v>328</v>
      </c>
      <c r="CN5" s="288"/>
      <c r="CO5" s="288"/>
      <c r="CP5" s="288"/>
      <c r="CQ5" s="288"/>
      <c r="CR5" s="288" t="s">
        <v>322</v>
      </c>
      <c r="CS5" s="288"/>
      <c r="CT5" s="288"/>
      <c r="CU5" s="288"/>
      <c r="CV5" s="288"/>
      <c r="CW5" s="288"/>
      <c r="CX5" s="288"/>
      <c r="CY5" s="288"/>
    </row>
    <row r="6" spans="1:103" ht="14.4" customHeight="1" thickBot="1" x14ac:dyDescent="0.35">
      <c r="A6" s="335"/>
      <c r="B6" s="335"/>
      <c r="C6" s="1576" t="s">
        <v>194</v>
      </c>
      <c r="D6" s="1578" t="s">
        <v>279</v>
      </c>
      <c r="E6" s="1566" t="s">
        <v>205</v>
      </c>
      <c r="F6" s="1567"/>
      <c r="G6" s="1568"/>
      <c r="H6" s="1566" t="s">
        <v>206</v>
      </c>
      <c r="I6" s="1567"/>
      <c r="J6" s="1568"/>
      <c r="K6" s="1566" t="s">
        <v>207</v>
      </c>
      <c r="L6" s="1567"/>
      <c r="M6" s="1568"/>
      <c r="N6" s="377"/>
      <c r="O6" s="289"/>
      <c r="P6" s="1580" t="s">
        <v>173</v>
      </c>
      <c r="Q6" s="1583" t="s">
        <v>182</v>
      </c>
      <c r="R6" s="1543" t="s">
        <v>205</v>
      </c>
      <c r="S6" s="1544"/>
      <c r="T6" s="1544"/>
      <c r="U6" s="1544"/>
      <c r="V6" s="1544"/>
      <c r="W6" s="1544"/>
      <c r="X6" s="1544"/>
      <c r="Y6" s="1544"/>
      <c r="Z6" s="1544"/>
      <c r="AA6" s="1544"/>
      <c r="AB6" s="1544"/>
      <c r="AC6" s="1544"/>
      <c r="AD6" s="1545"/>
      <c r="AE6" s="1543" t="s">
        <v>284</v>
      </c>
      <c r="AF6" s="1544"/>
      <c r="AG6" s="1544"/>
      <c r="AH6" s="1544"/>
      <c r="AI6" s="1544"/>
      <c r="AJ6" s="1544"/>
      <c r="AK6" s="1544"/>
      <c r="AL6" s="1544"/>
      <c r="AM6" s="1544"/>
      <c r="AN6" s="1544"/>
      <c r="AO6" s="1544"/>
      <c r="AP6" s="1544"/>
      <c r="AQ6" s="1545"/>
      <c r="AR6" s="1543" t="s">
        <v>207</v>
      </c>
      <c r="AS6" s="1544"/>
      <c r="AT6" s="1544"/>
      <c r="AU6" s="1544"/>
      <c r="AV6" s="1544"/>
      <c r="AW6" s="1544"/>
      <c r="AX6" s="1544"/>
      <c r="AY6" s="1544"/>
      <c r="AZ6" s="1544"/>
      <c r="BA6" s="1544"/>
      <c r="BB6" s="1544"/>
      <c r="BC6" s="1544"/>
      <c r="BD6" s="1545"/>
      <c r="BE6" s="335"/>
      <c r="BF6" s="288"/>
      <c r="BG6" s="534"/>
      <c r="BH6" s="1535"/>
      <c r="BI6" s="1537"/>
      <c r="BJ6" s="431">
        <f>'[1]Scheme Entry - Baseline'!$O$4</f>
        <v>2.4E-2</v>
      </c>
      <c r="BK6" s="428">
        <f>'[1]Scheme Entry - Baseline'!$L$4</f>
        <v>0.05</v>
      </c>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M6" s="288"/>
      <c r="CN6" s="288"/>
      <c r="CO6" s="288"/>
      <c r="CP6" s="288"/>
      <c r="CQ6" s="288"/>
      <c r="CR6" s="288"/>
      <c r="CS6" s="288"/>
      <c r="CT6" s="288"/>
      <c r="CU6" s="288"/>
      <c r="CV6" s="288"/>
      <c r="CW6" s="288"/>
      <c r="CX6" s="288"/>
      <c r="CY6" s="288"/>
    </row>
    <row r="7" spans="1:103" ht="14.4" customHeight="1" x14ac:dyDescent="0.3">
      <c r="A7" s="335"/>
      <c r="B7" s="335"/>
      <c r="C7" s="1577"/>
      <c r="D7" s="1579"/>
      <c r="E7" s="290" t="s">
        <v>281</v>
      </c>
      <c r="F7" s="291" t="s">
        <v>282</v>
      </c>
      <c r="G7" s="292" t="s">
        <v>283</v>
      </c>
      <c r="H7" s="290" t="s">
        <v>281</v>
      </c>
      <c r="I7" s="291" t="s">
        <v>282</v>
      </c>
      <c r="J7" s="292" t="s">
        <v>283</v>
      </c>
      <c r="K7" s="290" t="s">
        <v>281</v>
      </c>
      <c r="L7" s="291" t="s">
        <v>282</v>
      </c>
      <c r="M7" s="292" t="s">
        <v>283</v>
      </c>
      <c r="N7" s="377"/>
      <c r="O7" s="289"/>
      <c r="P7" s="1581"/>
      <c r="Q7" s="1584"/>
      <c r="R7" s="1564">
        <v>2013</v>
      </c>
      <c r="S7" s="1541">
        <v>2014</v>
      </c>
      <c r="T7" s="1541">
        <v>2015</v>
      </c>
      <c r="U7" s="1541">
        <v>2016</v>
      </c>
      <c r="V7" s="1541">
        <v>2017</v>
      </c>
      <c r="W7" s="1541">
        <v>2018</v>
      </c>
      <c r="X7" s="1541">
        <v>2019</v>
      </c>
      <c r="Y7" s="1541">
        <v>2020</v>
      </c>
      <c r="Z7" s="1541">
        <v>2021</v>
      </c>
      <c r="AA7" s="1541">
        <v>2022</v>
      </c>
      <c r="AB7" s="1541">
        <v>2023</v>
      </c>
      <c r="AC7" s="1541">
        <v>2024</v>
      </c>
      <c r="AD7" s="1562">
        <v>2025</v>
      </c>
      <c r="AE7" s="1564">
        <v>2013</v>
      </c>
      <c r="AF7" s="1541">
        <v>2014</v>
      </c>
      <c r="AG7" s="1541">
        <v>2015</v>
      </c>
      <c r="AH7" s="1541">
        <v>2016</v>
      </c>
      <c r="AI7" s="1541">
        <v>2017</v>
      </c>
      <c r="AJ7" s="1541">
        <v>2018</v>
      </c>
      <c r="AK7" s="1541">
        <v>2019</v>
      </c>
      <c r="AL7" s="1541">
        <v>2020</v>
      </c>
      <c r="AM7" s="1541">
        <v>2021</v>
      </c>
      <c r="AN7" s="1541">
        <v>2022</v>
      </c>
      <c r="AO7" s="1541">
        <v>2023</v>
      </c>
      <c r="AP7" s="1541">
        <v>2024</v>
      </c>
      <c r="AQ7" s="1562">
        <v>2025</v>
      </c>
      <c r="AR7" s="1564">
        <v>2013</v>
      </c>
      <c r="AS7" s="1541">
        <v>2014</v>
      </c>
      <c r="AT7" s="1541">
        <v>2015</v>
      </c>
      <c r="AU7" s="1541">
        <v>2016</v>
      </c>
      <c r="AV7" s="1541">
        <v>2017</v>
      </c>
      <c r="AW7" s="1541">
        <v>2018</v>
      </c>
      <c r="AX7" s="1541">
        <v>2019</v>
      </c>
      <c r="AY7" s="1541">
        <v>2020</v>
      </c>
      <c r="AZ7" s="1541">
        <v>2021</v>
      </c>
      <c r="BA7" s="1541">
        <v>2022</v>
      </c>
      <c r="BB7" s="1541">
        <v>2023</v>
      </c>
      <c r="BC7" s="1541">
        <v>2024</v>
      </c>
      <c r="BD7" s="1562">
        <v>2025</v>
      </c>
      <c r="BE7" s="335"/>
      <c r="BF7" s="288"/>
      <c r="BG7" s="535"/>
      <c r="BH7" s="432">
        <v>2011</v>
      </c>
      <c r="BI7" s="514">
        <v>1</v>
      </c>
      <c r="BJ7" s="426">
        <v>1</v>
      </c>
      <c r="BK7" s="429">
        <v>1</v>
      </c>
      <c r="BL7" s="1569">
        <v>2013</v>
      </c>
      <c r="BM7" s="1571">
        <v>2014</v>
      </c>
      <c r="BN7" s="1571">
        <v>2015</v>
      </c>
      <c r="BO7" s="1571">
        <v>2016</v>
      </c>
      <c r="BP7" s="1571">
        <v>2017</v>
      </c>
      <c r="BQ7" s="1571">
        <v>2018</v>
      </c>
      <c r="BR7" s="1571">
        <v>2019</v>
      </c>
      <c r="BS7" s="1571">
        <v>2020</v>
      </c>
      <c r="BT7" s="1571">
        <v>2021</v>
      </c>
      <c r="BU7" s="1571">
        <v>2022</v>
      </c>
      <c r="BV7" s="1571">
        <v>2023</v>
      </c>
      <c r="BW7" s="1571">
        <v>2024</v>
      </c>
      <c r="BX7" s="1538">
        <v>2025</v>
      </c>
      <c r="BY7" s="1569">
        <v>2013</v>
      </c>
      <c r="BZ7" s="1571">
        <v>2014</v>
      </c>
      <c r="CA7" s="1571">
        <v>2015</v>
      </c>
      <c r="CB7" s="1571">
        <v>2016</v>
      </c>
      <c r="CC7" s="1571">
        <v>2017</v>
      </c>
      <c r="CD7" s="1571">
        <v>2018</v>
      </c>
      <c r="CE7" s="1571">
        <v>2019</v>
      </c>
      <c r="CF7" s="1571">
        <v>2020</v>
      </c>
      <c r="CG7" s="1571">
        <v>2021</v>
      </c>
      <c r="CH7" s="1571">
        <v>2022</v>
      </c>
      <c r="CI7" s="1571">
        <v>2023</v>
      </c>
      <c r="CJ7" s="1571">
        <v>2024</v>
      </c>
      <c r="CK7" s="1538">
        <v>2025</v>
      </c>
      <c r="CM7" s="1569">
        <v>2013</v>
      </c>
      <c r="CN7" s="1571">
        <v>2014</v>
      </c>
      <c r="CO7" s="1571">
        <v>2015</v>
      </c>
      <c r="CP7" s="1571">
        <v>2016</v>
      </c>
      <c r="CQ7" s="1571">
        <v>2017</v>
      </c>
      <c r="CR7" s="1571">
        <v>2018</v>
      </c>
      <c r="CS7" s="1571">
        <v>2019</v>
      </c>
      <c r="CT7" s="1571">
        <v>2020</v>
      </c>
      <c r="CU7" s="1571">
        <v>2021</v>
      </c>
      <c r="CV7" s="1571">
        <v>2022</v>
      </c>
      <c r="CW7" s="1571">
        <v>2023</v>
      </c>
      <c r="CX7" s="1571">
        <v>2024</v>
      </c>
      <c r="CY7" s="1538">
        <v>2025</v>
      </c>
    </row>
    <row r="8" spans="1:103" ht="13.95" customHeight="1" thickBot="1" x14ac:dyDescent="0.35">
      <c r="A8" s="335"/>
      <c r="B8" s="293" t="str">
        <f>C8&amp;D8</f>
        <v>DublinNational Primary</v>
      </c>
      <c r="C8" s="294" t="str">
        <f>Overview!N8</f>
        <v>Dublin</v>
      </c>
      <c r="D8" s="295" t="str">
        <f>Overview!B26</f>
        <v>National Primary</v>
      </c>
      <c r="E8" s="358">
        <f>VLOOKUP(B8,B9:M32,4,FALSE)</f>
        <v>1.00959903</v>
      </c>
      <c r="F8" s="359">
        <f>VLOOKUP(B8,B9:M32,5,FALSE)</f>
        <v>1.001112</v>
      </c>
      <c r="G8" s="368">
        <f>VLOOKUP(B8,B9:M32,6,FALSE)</f>
        <v>1</v>
      </c>
      <c r="H8" s="296">
        <f>VLOOKUP(B8,B9:M32,7,FALSE)</f>
        <v>1.01392284</v>
      </c>
      <c r="I8" s="297">
        <f>VLOOKUP(B8,B9:M32,8,FALSE)</f>
        <v>1.0045359</v>
      </c>
      <c r="J8" s="366">
        <f>VLOOKUP(B8,B9:M32,9,FALSE)</f>
        <v>1</v>
      </c>
      <c r="K8" s="299">
        <f>VLOOKUP(B8,B9:M32,10,FALSE)</f>
        <v>1.01536209</v>
      </c>
      <c r="L8" s="297">
        <f>VLOOKUP(B8,B9:M32,11,FALSE)</f>
        <v>1.0061721000000001</v>
      </c>
      <c r="M8" s="298">
        <f>VLOOKUP(B8,B9:M32,12,FALSE)</f>
        <v>1</v>
      </c>
      <c r="N8" s="378"/>
      <c r="O8" s="335"/>
      <c r="P8" s="1582"/>
      <c r="Q8" s="1585"/>
      <c r="R8" s="1565"/>
      <c r="S8" s="1542"/>
      <c r="T8" s="1542"/>
      <c r="U8" s="1542"/>
      <c r="V8" s="1542"/>
      <c r="W8" s="1542"/>
      <c r="X8" s="1542"/>
      <c r="Y8" s="1542"/>
      <c r="Z8" s="1542"/>
      <c r="AA8" s="1542"/>
      <c r="AB8" s="1542"/>
      <c r="AC8" s="1542"/>
      <c r="AD8" s="1563"/>
      <c r="AE8" s="1565"/>
      <c r="AF8" s="1542"/>
      <c r="AG8" s="1542"/>
      <c r="AH8" s="1542"/>
      <c r="AI8" s="1542"/>
      <c r="AJ8" s="1542"/>
      <c r="AK8" s="1542"/>
      <c r="AL8" s="1542"/>
      <c r="AM8" s="1542"/>
      <c r="AN8" s="1542"/>
      <c r="AO8" s="1542"/>
      <c r="AP8" s="1542"/>
      <c r="AQ8" s="1563"/>
      <c r="AR8" s="1565"/>
      <c r="AS8" s="1542"/>
      <c r="AT8" s="1542"/>
      <c r="AU8" s="1542"/>
      <c r="AV8" s="1542"/>
      <c r="AW8" s="1542"/>
      <c r="AX8" s="1542"/>
      <c r="AY8" s="1542"/>
      <c r="AZ8" s="1542"/>
      <c r="BA8" s="1542"/>
      <c r="BB8" s="1542"/>
      <c r="BC8" s="1542"/>
      <c r="BD8" s="1563"/>
      <c r="BE8" s="335"/>
      <c r="BF8" s="288"/>
      <c r="BG8" s="535"/>
      <c r="BH8" s="373">
        <v>2012</v>
      </c>
      <c r="BI8" s="374">
        <v>2</v>
      </c>
      <c r="BJ8" s="433">
        <f>(1+$BJ$6)^BI7</f>
        <v>1.024</v>
      </c>
      <c r="BK8" s="434">
        <f>1/(1+$BK$6)^BI7</f>
        <v>0.95238095238095233</v>
      </c>
      <c r="BL8" s="1570"/>
      <c r="BM8" s="1572"/>
      <c r="BN8" s="1572"/>
      <c r="BO8" s="1572"/>
      <c r="BP8" s="1572"/>
      <c r="BQ8" s="1572"/>
      <c r="BR8" s="1572"/>
      <c r="BS8" s="1572"/>
      <c r="BT8" s="1572"/>
      <c r="BU8" s="1572"/>
      <c r="BV8" s="1572"/>
      <c r="BW8" s="1572"/>
      <c r="BX8" s="1539"/>
      <c r="BY8" s="1570"/>
      <c r="BZ8" s="1572"/>
      <c r="CA8" s="1572"/>
      <c r="CB8" s="1572"/>
      <c r="CC8" s="1572"/>
      <c r="CD8" s="1572"/>
      <c r="CE8" s="1572"/>
      <c r="CF8" s="1572"/>
      <c r="CG8" s="1572"/>
      <c r="CH8" s="1572"/>
      <c r="CI8" s="1572"/>
      <c r="CJ8" s="1572"/>
      <c r="CK8" s="1539"/>
      <c r="CM8" s="1570"/>
      <c r="CN8" s="1572"/>
      <c r="CO8" s="1572"/>
      <c r="CP8" s="1572"/>
      <c r="CQ8" s="1572"/>
      <c r="CR8" s="1572"/>
      <c r="CS8" s="1572"/>
      <c r="CT8" s="1572"/>
      <c r="CU8" s="1572"/>
      <c r="CV8" s="1572"/>
      <c r="CW8" s="1572"/>
      <c r="CX8" s="1572"/>
      <c r="CY8" s="1539"/>
    </row>
    <row r="9" spans="1:103" ht="14.4" x14ac:dyDescent="0.3">
      <c r="A9" s="335"/>
      <c r="B9" s="302" t="str">
        <f>C9&amp;D9</f>
        <v>DublinMotorway</v>
      </c>
      <c r="C9" s="303" t="s">
        <v>2</v>
      </c>
      <c r="D9" s="304" t="s">
        <v>28</v>
      </c>
      <c r="E9" s="360">
        <v>1.0119270299999998</v>
      </c>
      <c r="F9" s="361">
        <v>1.0034277</v>
      </c>
      <c r="G9" s="775">
        <v>1</v>
      </c>
      <c r="H9" s="776">
        <v>1.0161916900000001</v>
      </c>
      <c r="I9" s="777">
        <v>1.0068678</v>
      </c>
      <c r="J9" s="775">
        <v>1</v>
      </c>
      <c r="K9" s="776">
        <v>1.0176104399999999</v>
      </c>
      <c r="L9" s="777">
        <v>1.0085213000000002</v>
      </c>
      <c r="M9" s="778">
        <v>1</v>
      </c>
      <c r="N9" s="367"/>
      <c r="O9" s="335"/>
      <c r="P9" s="305">
        <v>2013</v>
      </c>
      <c r="Q9" s="306">
        <v>1</v>
      </c>
      <c r="R9" s="307">
        <f>E8</f>
        <v>1.00959903</v>
      </c>
      <c r="S9" s="308"/>
      <c r="T9" s="308"/>
      <c r="U9" s="308"/>
      <c r="V9" s="308"/>
      <c r="W9" s="308"/>
      <c r="X9" s="308"/>
      <c r="Y9" s="308"/>
      <c r="Z9" s="308"/>
      <c r="AA9" s="308"/>
      <c r="AB9" s="308"/>
      <c r="AC9" s="308"/>
      <c r="AD9" s="309"/>
      <c r="AE9" s="310">
        <f>H8</f>
        <v>1.01392284</v>
      </c>
      <c r="AF9" s="308"/>
      <c r="AG9" s="308"/>
      <c r="AH9" s="308"/>
      <c r="AI9" s="308"/>
      <c r="AJ9" s="308"/>
      <c r="AK9" s="308"/>
      <c r="AL9" s="308"/>
      <c r="AM9" s="308"/>
      <c r="AN9" s="308"/>
      <c r="AO9" s="308"/>
      <c r="AP9" s="308"/>
      <c r="AQ9" s="311"/>
      <c r="AR9" s="307">
        <f>K8</f>
        <v>1.01536209</v>
      </c>
      <c r="AS9" s="308"/>
      <c r="AT9" s="308"/>
      <c r="AU9" s="308"/>
      <c r="AV9" s="308"/>
      <c r="AW9" s="308"/>
      <c r="AX9" s="308"/>
      <c r="AY9" s="308"/>
      <c r="AZ9" s="308"/>
      <c r="BA9" s="308"/>
      <c r="BB9" s="308"/>
      <c r="BC9" s="308"/>
      <c r="BD9" s="311"/>
      <c r="BE9" s="335"/>
      <c r="BF9" s="288"/>
      <c r="BG9" s="535"/>
      <c r="BH9" s="373">
        <v>2013</v>
      </c>
      <c r="BI9" s="374">
        <v>3</v>
      </c>
      <c r="BJ9" s="433">
        <f t="shared" ref="BJ9:BJ50" si="0">(1+$BJ$6)^BI8</f>
        <v>1.048576</v>
      </c>
      <c r="BK9" s="434">
        <f>1/(1+$BK$6)^BI8</f>
        <v>0.90702947845804982</v>
      </c>
      <c r="BL9" s="500">
        <f t="shared" ref="BL9:BL38" si="1">R9*$BJ8*$BK8</f>
        <v>0.98459943497142854</v>
      </c>
      <c r="BM9" s="501"/>
      <c r="BN9" s="501"/>
      <c r="BO9" s="501"/>
      <c r="BP9" s="501"/>
      <c r="BQ9" s="501"/>
      <c r="BR9" s="501"/>
      <c r="BS9" s="501"/>
      <c r="BT9" s="501"/>
      <c r="BU9" s="501"/>
      <c r="BV9" s="501"/>
      <c r="BW9" s="501"/>
      <c r="BX9" s="502"/>
      <c r="BY9" s="500">
        <f t="shared" ref="BY9:BY38" si="2">AE9*BJ8*BK8</f>
        <v>0.98881617920000009</v>
      </c>
      <c r="BZ9" s="501"/>
      <c r="CA9" s="501"/>
      <c r="CB9" s="501"/>
      <c r="CC9" s="501"/>
      <c r="CD9" s="501"/>
      <c r="CE9" s="501"/>
      <c r="CF9" s="501"/>
      <c r="CG9" s="501"/>
      <c r="CH9" s="501"/>
      <c r="CI9" s="501"/>
      <c r="CJ9" s="501"/>
      <c r="CK9" s="502"/>
      <c r="CM9" s="500">
        <f t="shared" ref="CM9:CM38" si="3">AR9*$BJ8*$BK8</f>
        <v>0.99021979062857135</v>
      </c>
      <c r="CN9" s="501"/>
      <c r="CO9" s="501"/>
      <c r="CP9" s="501"/>
      <c r="CQ9" s="501"/>
      <c r="CR9" s="501"/>
      <c r="CS9" s="501"/>
      <c r="CT9" s="501"/>
      <c r="CU9" s="501"/>
      <c r="CV9" s="501"/>
      <c r="CW9" s="501"/>
      <c r="CX9" s="501"/>
      <c r="CY9" s="502"/>
    </row>
    <row r="10" spans="1:103" ht="14.4" x14ac:dyDescent="0.3">
      <c r="A10" s="335"/>
      <c r="B10" s="302" t="str">
        <f t="shared" ref="B10:B32" si="4">C10&amp;D10</f>
        <v>DublinNational Primary</v>
      </c>
      <c r="C10" s="312" t="s">
        <v>2</v>
      </c>
      <c r="D10" s="304" t="s">
        <v>210</v>
      </c>
      <c r="E10" s="360">
        <v>1.00959903</v>
      </c>
      <c r="F10" s="361">
        <v>1.001112</v>
      </c>
      <c r="G10" s="775">
        <v>1</v>
      </c>
      <c r="H10" s="776">
        <v>1.01392284</v>
      </c>
      <c r="I10" s="777">
        <v>1.0045359</v>
      </c>
      <c r="J10" s="775">
        <v>1</v>
      </c>
      <c r="K10" s="776">
        <v>1.01536209</v>
      </c>
      <c r="L10" s="777">
        <v>1.0061721000000001</v>
      </c>
      <c r="M10" s="779">
        <v>1</v>
      </c>
      <c r="N10" s="367"/>
      <c r="O10" s="335"/>
      <c r="P10" s="313">
        <v>2014</v>
      </c>
      <c r="Q10" s="314">
        <v>2</v>
      </c>
      <c r="R10" s="310">
        <f>$E$8+(R9-1)</f>
        <v>1.0191980599999999</v>
      </c>
      <c r="S10" s="315">
        <f>E8</f>
        <v>1.00959903</v>
      </c>
      <c r="T10" s="308"/>
      <c r="U10" s="308"/>
      <c r="V10" s="308"/>
      <c r="W10" s="308"/>
      <c r="X10" s="308"/>
      <c r="Y10" s="308"/>
      <c r="Z10" s="308"/>
      <c r="AA10" s="308"/>
      <c r="AB10" s="308"/>
      <c r="AC10" s="308"/>
      <c r="AD10" s="309"/>
      <c r="AE10" s="310">
        <f>$H$8+(AE9-1)</f>
        <v>1.02784568</v>
      </c>
      <c r="AF10" s="315">
        <f>H8</f>
        <v>1.01392284</v>
      </c>
      <c r="AG10" s="308"/>
      <c r="AH10" s="308"/>
      <c r="AI10" s="308"/>
      <c r="AJ10" s="308"/>
      <c r="AK10" s="308"/>
      <c r="AL10" s="308"/>
      <c r="AM10" s="308"/>
      <c r="AN10" s="308"/>
      <c r="AO10" s="308"/>
      <c r="AP10" s="308"/>
      <c r="AQ10" s="311"/>
      <c r="AR10" s="310">
        <f>$K$8+(AR9-1)</f>
        <v>1.03072418</v>
      </c>
      <c r="AS10" s="315">
        <f>K8</f>
        <v>1.01536209</v>
      </c>
      <c r="AT10" s="308"/>
      <c r="AU10" s="308"/>
      <c r="AV10" s="308"/>
      <c r="AW10" s="308"/>
      <c r="AX10" s="308"/>
      <c r="AY10" s="308"/>
      <c r="AZ10" s="308"/>
      <c r="BA10" s="308"/>
      <c r="BB10" s="308"/>
      <c r="BC10" s="308"/>
      <c r="BD10" s="311"/>
      <c r="BE10" s="421"/>
      <c r="BF10" s="288"/>
      <c r="BG10" s="535"/>
      <c r="BH10" s="373">
        <v>2014</v>
      </c>
      <c r="BI10" s="374">
        <v>4</v>
      </c>
      <c r="BJ10" s="433">
        <f t="shared" si="0"/>
        <v>1.0737418240000001</v>
      </c>
      <c r="BK10" s="434">
        <f>1/(1+$BK$6)^BI9</f>
        <v>0.86383759853147601</v>
      </c>
      <c r="BL10" s="500">
        <f t="shared" si="1"/>
        <v>0.96934841266445326</v>
      </c>
      <c r="BM10" s="500">
        <f t="shared" ref="BM10:BM39" si="5">S10*$BJ9*$BK9</f>
        <v>0.96021887753404067</v>
      </c>
      <c r="BN10" s="501"/>
      <c r="BO10" s="520"/>
      <c r="BP10" s="501"/>
      <c r="BQ10" s="501"/>
      <c r="BR10" s="501"/>
      <c r="BS10" s="501"/>
      <c r="BT10" s="501"/>
      <c r="BU10" s="501"/>
      <c r="BV10" s="501"/>
      <c r="BW10" s="501"/>
      <c r="BX10" s="502"/>
      <c r="BY10" s="500">
        <f t="shared" si="2"/>
        <v>0.97757307188360998</v>
      </c>
      <c r="BZ10" s="501">
        <f t="shared" ref="BZ10:BZ39" si="6">AF10*BJ10*BK10</f>
        <v>0.94045252963339598</v>
      </c>
      <c r="CA10" s="501"/>
      <c r="CB10" s="501"/>
      <c r="CC10" s="501"/>
      <c r="CD10" s="501"/>
      <c r="CE10" s="501"/>
      <c r="CF10" s="501"/>
      <c r="CG10" s="501"/>
      <c r="CH10" s="501"/>
      <c r="CI10" s="501"/>
      <c r="CJ10" s="501"/>
      <c r="CK10" s="502"/>
      <c r="CM10" s="521">
        <f t="shared" si="3"/>
        <v>0.98031078255571868</v>
      </c>
      <c r="CN10" s="501">
        <f t="shared" ref="CN10:CN39" si="7">AS10*$BJ9*$BK9</f>
        <v>0.96570006247967333</v>
      </c>
      <c r="CO10" s="501"/>
      <c r="CP10" s="501"/>
      <c r="CQ10" s="501"/>
      <c r="CR10" s="501"/>
      <c r="CS10" s="501"/>
      <c r="CT10" s="501"/>
      <c r="CU10" s="501"/>
      <c r="CV10" s="501"/>
      <c r="CW10" s="501"/>
      <c r="CX10" s="501"/>
      <c r="CY10" s="502"/>
    </row>
    <row r="11" spans="1:103" ht="14.4" x14ac:dyDescent="0.3">
      <c r="A11" s="335"/>
      <c r="B11" s="302" t="str">
        <f t="shared" si="4"/>
        <v>DublinNational Secondary</v>
      </c>
      <c r="C11" s="316" t="s">
        <v>2</v>
      </c>
      <c r="D11" s="317" t="s">
        <v>211</v>
      </c>
      <c r="E11" s="362">
        <v>1.0095726300000001</v>
      </c>
      <c r="F11" s="363">
        <v>1.0010851999999999</v>
      </c>
      <c r="G11" s="780">
        <v>1</v>
      </c>
      <c r="H11" s="781">
        <v>1.0139022400000002</v>
      </c>
      <c r="I11" s="782">
        <v>1.0045082999999999</v>
      </c>
      <c r="J11" s="780">
        <v>1</v>
      </c>
      <c r="K11" s="781">
        <v>1.01534349</v>
      </c>
      <c r="L11" s="782">
        <v>1.0061433000000002</v>
      </c>
      <c r="M11" s="783">
        <v>1</v>
      </c>
      <c r="N11" s="367"/>
      <c r="O11" s="335"/>
      <c r="P11" s="313">
        <v>2015</v>
      </c>
      <c r="Q11" s="314">
        <v>3</v>
      </c>
      <c r="R11" s="310">
        <f t="shared" ref="R11:U25" si="8">$E$8+(R10-1)</f>
        <v>1.0287970899999999</v>
      </c>
      <c r="S11" s="307">
        <f t="shared" si="8"/>
        <v>1.0191980599999999</v>
      </c>
      <c r="T11" s="315">
        <f>E8</f>
        <v>1.00959903</v>
      </c>
      <c r="U11" s="308"/>
      <c r="V11" s="308"/>
      <c r="W11" s="308"/>
      <c r="X11" s="308"/>
      <c r="Y11" s="308"/>
      <c r="Z11" s="308"/>
      <c r="AA11" s="308"/>
      <c r="AB11" s="308"/>
      <c r="AC11" s="308"/>
      <c r="AD11" s="309"/>
      <c r="AE11" s="310">
        <f t="shared" ref="AE11:AQ25" si="9">$H$8+(AE10-1)</f>
        <v>1.04176852</v>
      </c>
      <c r="AF11" s="315">
        <f>$H$8+(AF10-1)</f>
        <v>1.02784568</v>
      </c>
      <c r="AG11" s="315">
        <f>H8</f>
        <v>1.01392284</v>
      </c>
      <c r="AH11" s="308"/>
      <c r="AI11" s="308"/>
      <c r="AJ11" s="308"/>
      <c r="AK11" s="308"/>
      <c r="AL11" s="308"/>
      <c r="AM11" s="308"/>
      <c r="AN11" s="308"/>
      <c r="AO11" s="308"/>
      <c r="AP11" s="308"/>
      <c r="AQ11" s="311"/>
      <c r="AR11" s="310">
        <f t="shared" ref="AR11:AT25" si="10">$K$8+(AR10-1)</f>
        <v>1.04608627</v>
      </c>
      <c r="AS11" s="307">
        <f t="shared" si="10"/>
        <v>1.03072418</v>
      </c>
      <c r="AT11" s="315">
        <f>K8</f>
        <v>1.01536209</v>
      </c>
      <c r="AU11" s="308"/>
      <c r="AV11" s="308"/>
      <c r="AW11" s="308"/>
      <c r="AX11" s="308"/>
      <c r="AY11" s="308"/>
      <c r="AZ11" s="308"/>
      <c r="BA11" s="308"/>
      <c r="BB11" s="308"/>
      <c r="BC11" s="308"/>
      <c r="BD11" s="311"/>
      <c r="BE11" s="421"/>
      <c r="BF11" s="288"/>
      <c r="BG11" s="535"/>
      <c r="BH11" s="515">
        <v>2015</v>
      </c>
      <c r="BI11" s="372">
        <v>5</v>
      </c>
      <c r="BJ11" s="433">
        <f t="shared" si="0"/>
        <v>1.099511627776</v>
      </c>
      <c r="BK11" s="435">
        <f>1/(1+$BK$6)^BI10</f>
        <v>0.82270247479188197</v>
      </c>
      <c r="BL11" s="500">
        <f t="shared" si="1"/>
        <v>0.95424897003994547</v>
      </c>
      <c r="BM11" s="500">
        <f t="shared" si="5"/>
        <v>0.94534549958895264</v>
      </c>
      <c r="BN11" s="501">
        <f t="shared" ref="BN11:BN40" si="11">T11*$BJ10*$BK10</f>
        <v>0.93644202913795971</v>
      </c>
      <c r="BO11" s="520"/>
      <c r="BP11" s="501"/>
      <c r="BQ11" s="501"/>
      <c r="BR11" s="501"/>
      <c r="BS11" s="501"/>
      <c r="BT11" s="501"/>
      <c r="BU11" s="501"/>
      <c r="BV11" s="501"/>
      <c r="BW11" s="501"/>
      <c r="BX11" s="502"/>
      <c r="BY11" s="500">
        <f t="shared" si="2"/>
        <v>0.96628047152625451</v>
      </c>
      <c r="BZ11" s="501">
        <f t="shared" si="6"/>
        <v>0.92975933008927714</v>
      </c>
      <c r="CA11" s="501">
        <f t="shared" ref="CA11:CA40" si="12">AG11*BJ11*BK11</f>
        <v>0.91716513366152141</v>
      </c>
      <c r="CB11" s="501"/>
      <c r="CC11" s="501"/>
      <c r="CD11" s="501"/>
      <c r="CE11" s="501"/>
      <c r="CF11" s="501"/>
      <c r="CG11" s="501"/>
      <c r="CH11" s="501"/>
      <c r="CI11" s="501"/>
      <c r="CJ11" s="501"/>
      <c r="CK11" s="502"/>
      <c r="CM11" s="500">
        <f t="shared" si="3"/>
        <v>0.97028535113802516</v>
      </c>
      <c r="CN11" s="501">
        <f t="shared" si="7"/>
        <v>0.95603642032100589</v>
      </c>
      <c r="CO11" s="501">
        <f t="shared" ref="CO11:CO40" si="13">AT11*$BJ10*$BK10</f>
        <v>0.94178748950398639</v>
      </c>
      <c r="CP11" s="501"/>
      <c r="CQ11" s="501"/>
      <c r="CR11" s="501"/>
      <c r="CS11" s="501"/>
      <c r="CT11" s="501"/>
      <c r="CU11" s="501"/>
      <c r="CV11" s="501"/>
      <c r="CW11" s="501"/>
      <c r="CX11" s="501"/>
      <c r="CY11" s="502"/>
    </row>
    <row r="12" spans="1:103" ht="14.4" x14ac:dyDescent="0.3">
      <c r="A12" s="335"/>
      <c r="B12" s="302" t="str">
        <f t="shared" si="4"/>
        <v>Mid-EastMotorway</v>
      </c>
      <c r="C12" s="303" t="s">
        <v>212</v>
      </c>
      <c r="D12" s="304" t="s">
        <v>28</v>
      </c>
      <c r="E12" s="360">
        <v>1.01376263</v>
      </c>
      <c r="F12" s="361">
        <v>1.0047126200000001</v>
      </c>
      <c r="G12" s="775">
        <v>1</v>
      </c>
      <c r="H12" s="776">
        <v>1.01674237</v>
      </c>
      <c r="I12" s="777">
        <v>1.0077855999999998</v>
      </c>
      <c r="J12" s="775">
        <v>1</v>
      </c>
      <c r="K12" s="776">
        <v>1.01806934</v>
      </c>
      <c r="L12" s="777">
        <v>1.0085213000000002</v>
      </c>
      <c r="M12" s="779">
        <v>1</v>
      </c>
      <c r="N12" s="367"/>
      <c r="O12" s="335"/>
      <c r="P12" s="313">
        <v>2016</v>
      </c>
      <c r="Q12" s="314">
        <v>4</v>
      </c>
      <c r="R12" s="310">
        <f t="shared" si="8"/>
        <v>1.0383961199999998</v>
      </c>
      <c r="S12" s="307">
        <f t="shared" si="8"/>
        <v>1.0287970899999999</v>
      </c>
      <c r="T12" s="307">
        <f t="shared" si="8"/>
        <v>1.0191980599999999</v>
      </c>
      <c r="U12" s="315">
        <f>E8</f>
        <v>1.00959903</v>
      </c>
      <c r="V12" s="308"/>
      <c r="W12" s="308"/>
      <c r="X12" s="308"/>
      <c r="Y12" s="308"/>
      <c r="Z12" s="308"/>
      <c r="AA12" s="308"/>
      <c r="AB12" s="308"/>
      <c r="AC12" s="308"/>
      <c r="AD12" s="309"/>
      <c r="AE12" s="310">
        <f t="shared" si="9"/>
        <v>1.05569136</v>
      </c>
      <c r="AF12" s="315">
        <f t="shared" si="9"/>
        <v>1.04176852</v>
      </c>
      <c r="AG12" s="315">
        <f>$H$8+(AG11-1)</f>
        <v>1.02784568</v>
      </c>
      <c r="AH12" s="315">
        <f>H8</f>
        <v>1.01392284</v>
      </c>
      <c r="AI12" s="308"/>
      <c r="AJ12" s="308"/>
      <c r="AK12" s="308"/>
      <c r="AL12" s="308"/>
      <c r="AM12" s="308"/>
      <c r="AN12" s="308"/>
      <c r="AO12" s="308"/>
      <c r="AP12" s="308"/>
      <c r="AQ12" s="311"/>
      <c r="AR12" s="310">
        <f t="shared" si="10"/>
        <v>1.06144836</v>
      </c>
      <c r="AS12" s="307">
        <f t="shared" si="10"/>
        <v>1.04608627</v>
      </c>
      <c r="AT12" s="307">
        <f t="shared" si="10"/>
        <v>1.03072418</v>
      </c>
      <c r="AU12" s="315">
        <f>K8</f>
        <v>1.01536209</v>
      </c>
      <c r="AV12" s="308"/>
      <c r="AW12" s="308"/>
      <c r="AX12" s="308"/>
      <c r="AY12" s="308"/>
      <c r="AZ12" s="308"/>
      <c r="BA12" s="308"/>
      <c r="BB12" s="308"/>
      <c r="BC12" s="308"/>
      <c r="BD12" s="311"/>
      <c r="BE12" s="335"/>
      <c r="BF12" s="288"/>
      <c r="BG12" s="535"/>
      <c r="BH12" s="436">
        <v>2016</v>
      </c>
      <c r="BI12" s="437">
        <v>6</v>
      </c>
      <c r="BJ12" s="433">
        <f t="shared" si="0"/>
        <v>1.1258999068426241</v>
      </c>
      <c r="BK12" s="435">
        <f t="shared" ref="BK12:BK50" si="14">1/(1+$BK$6)^BI11</f>
        <v>0.78352616646845896</v>
      </c>
      <c r="BL12" s="500">
        <f t="shared" si="1"/>
        <v>0.93930295148830578</v>
      </c>
      <c r="BM12" s="500">
        <f t="shared" si="5"/>
        <v>0.93061994792467073</v>
      </c>
      <c r="BN12" s="501">
        <f t="shared" si="11"/>
        <v>0.92193694436103568</v>
      </c>
      <c r="BO12" s="520">
        <f t="shared" ref="BO12:BO41" si="15">U12*$BJ11*$BK11</f>
        <v>0.91325394079740074</v>
      </c>
      <c r="BP12" s="501"/>
      <c r="BQ12" s="501"/>
      <c r="BR12" s="501"/>
      <c r="BS12" s="501"/>
      <c r="BT12" s="501"/>
      <c r="BU12" s="501"/>
      <c r="BV12" s="501"/>
      <c r="BW12" s="501"/>
      <c r="BX12" s="502"/>
      <c r="BY12" s="500">
        <f t="shared" si="2"/>
        <v>0.9549477229447888</v>
      </c>
      <c r="BZ12" s="501">
        <f t="shared" si="6"/>
        <v>0.91901905824137309</v>
      </c>
      <c r="CA12" s="501">
        <f t="shared" si="12"/>
        <v>0.90673671810611423</v>
      </c>
      <c r="CB12" s="501">
        <f t="shared" ref="CB12:CB41" si="16">AH12*BJ12*BK12</f>
        <v>0.89445437797085525</v>
      </c>
      <c r="CC12" s="501"/>
      <c r="CD12" s="501"/>
      <c r="CE12" s="501"/>
      <c r="CF12" s="501"/>
      <c r="CG12" s="501"/>
      <c r="CH12" s="501"/>
      <c r="CI12" s="501"/>
      <c r="CJ12" s="501"/>
      <c r="CK12" s="502"/>
      <c r="CM12" s="500">
        <f t="shared" si="3"/>
        <v>0.9601553378304436</v>
      </c>
      <c r="CN12" s="501">
        <f t="shared" si="7"/>
        <v>0.94625923768127396</v>
      </c>
      <c r="CO12" s="501">
        <f t="shared" si="13"/>
        <v>0.93236313753210454</v>
      </c>
      <c r="CP12" s="501">
        <f t="shared" ref="CP12:CP41" si="17">AU12*$BJ11*$BK11</f>
        <v>0.91846703738293511</v>
      </c>
      <c r="CQ12" s="501"/>
      <c r="CR12" s="501"/>
      <c r="CS12" s="501"/>
      <c r="CT12" s="501"/>
      <c r="CU12" s="501"/>
      <c r="CV12" s="501"/>
      <c r="CW12" s="501"/>
      <c r="CX12" s="501"/>
      <c r="CY12" s="502"/>
    </row>
    <row r="13" spans="1:103" ht="14.4" x14ac:dyDescent="0.3">
      <c r="A13" s="335"/>
      <c r="B13" s="302" t="str">
        <f t="shared" si="4"/>
        <v>Mid-EastNational Primary</v>
      </c>
      <c r="C13" s="312" t="s">
        <v>212</v>
      </c>
      <c r="D13" s="304" t="s">
        <v>210</v>
      </c>
      <c r="E13" s="360">
        <v>1.0114776299999999</v>
      </c>
      <c r="F13" s="361">
        <v>1.0024270200000001</v>
      </c>
      <c r="G13" s="775">
        <v>1</v>
      </c>
      <c r="H13" s="776">
        <v>1.0144864200000001</v>
      </c>
      <c r="I13" s="777">
        <v>1.0054752</v>
      </c>
      <c r="J13" s="775">
        <v>1</v>
      </c>
      <c r="K13" s="776">
        <v>1.0158317400000001</v>
      </c>
      <c r="L13" s="777">
        <v>1.0061721000000001</v>
      </c>
      <c r="M13" s="779">
        <v>1</v>
      </c>
      <c r="N13" s="367"/>
      <c r="O13" s="335"/>
      <c r="P13" s="313">
        <v>2017</v>
      </c>
      <c r="Q13" s="314">
        <v>5</v>
      </c>
      <c r="R13" s="310">
        <f t="shared" si="8"/>
        <v>1.0479951499999998</v>
      </c>
      <c r="S13" s="307">
        <f t="shared" si="8"/>
        <v>1.0383961199999998</v>
      </c>
      <c r="T13" s="307">
        <f t="shared" si="8"/>
        <v>1.0287970899999999</v>
      </c>
      <c r="U13" s="307">
        <f t="shared" si="8"/>
        <v>1.0191980599999999</v>
      </c>
      <c r="V13" s="315">
        <f>E8</f>
        <v>1.00959903</v>
      </c>
      <c r="W13" s="308"/>
      <c r="X13" s="308"/>
      <c r="Y13" s="308"/>
      <c r="Z13" s="308"/>
      <c r="AA13" s="308"/>
      <c r="AB13" s="308"/>
      <c r="AC13" s="308"/>
      <c r="AD13" s="309"/>
      <c r="AE13" s="310">
        <f t="shared" si="9"/>
        <v>1.0696142</v>
      </c>
      <c r="AF13" s="315">
        <f>$H$8+(AF12-1)</f>
        <v>1.05569136</v>
      </c>
      <c r="AG13" s="315">
        <f>$H$8+(AG12-1)</f>
        <v>1.04176852</v>
      </c>
      <c r="AH13" s="315">
        <f>$H$8+(AH12-1)</f>
        <v>1.02784568</v>
      </c>
      <c r="AI13" s="315">
        <f>H8</f>
        <v>1.01392284</v>
      </c>
      <c r="AJ13" s="308"/>
      <c r="AK13" s="308"/>
      <c r="AL13" s="308"/>
      <c r="AM13" s="308"/>
      <c r="AN13" s="308"/>
      <c r="AO13" s="308"/>
      <c r="AP13" s="308"/>
      <c r="AQ13" s="311"/>
      <c r="AR13" s="310">
        <f t="shared" si="10"/>
        <v>1.07681045</v>
      </c>
      <c r="AS13" s="307">
        <f t="shared" si="10"/>
        <v>1.06144836</v>
      </c>
      <c r="AT13" s="307">
        <f t="shared" ref="AT13" si="18">$K$8+(AT12-1)</f>
        <v>1.04608627</v>
      </c>
      <c r="AU13" s="307">
        <f t="shared" ref="AU13" si="19">$K$8+(AU12-1)</f>
        <v>1.03072418</v>
      </c>
      <c r="AV13" s="315">
        <f>K8</f>
        <v>1.01536209</v>
      </c>
      <c r="AW13" s="308"/>
      <c r="AX13" s="308"/>
      <c r="AY13" s="308"/>
      <c r="AZ13" s="308"/>
      <c r="BA13" s="308"/>
      <c r="BB13" s="308"/>
      <c r="BC13" s="308"/>
      <c r="BD13" s="311"/>
      <c r="BE13" s="335"/>
      <c r="BF13" s="288"/>
      <c r="BG13" s="535"/>
      <c r="BH13" s="373">
        <v>2017</v>
      </c>
      <c r="BI13" s="374">
        <v>7</v>
      </c>
      <c r="BJ13" s="433">
        <f t="shared" si="0"/>
        <v>1.1529215046068468</v>
      </c>
      <c r="BK13" s="435">
        <f t="shared" si="14"/>
        <v>0.74621539663662761</v>
      </c>
      <c r="BL13" s="500">
        <f t="shared" si="1"/>
        <v>0.92451201711732112</v>
      </c>
      <c r="BM13" s="500">
        <f t="shared" si="5"/>
        <v>0.91604402126097628</v>
      </c>
      <c r="BN13" s="501">
        <f t="shared" si="11"/>
        <v>0.90757602540463134</v>
      </c>
      <c r="BO13" s="520">
        <f t="shared" si="15"/>
        <v>0.89910802954828628</v>
      </c>
      <c r="BP13" s="520">
        <f t="shared" ref="BP13:BP42" si="20">V13*$BJ12*$BK12</f>
        <v>0.89064003369194134</v>
      </c>
      <c r="BQ13" s="501"/>
      <c r="BR13" s="501"/>
      <c r="BS13" s="501"/>
      <c r="BT13" s="501"/>
      <c r="BU13" s="501"/>
      <c r="BV13" s="501"/>
      <c r="BW13" s="501"/>
      <c r="BX13" s="502"/>
      <c r="BY13" s="500">
        <f t="shared" si="2"/>
        <v>0.94358373851189103</v>
      </c>
      <c r="BZ13" s="501">
        <f t="shared" si="6"/>
        <v>0.90824060184540112</v>
      </c>
      <c r="CA13" s="501">
        <f t="shared" si="12"/>
        <v>0.89626239584682477</v>
      </c>
      <c r="CB13" s="501">
        <f t="shared" si="16"/>
        <v>0.88428418984824841</v>
      </c>
      <c r="CC13" s="501">
        <f t="shared" ref="CC13:CC42" si="21">AI13*BJ13*BK13</f>
        <v>0.87230598384967206</v>
      </c>
      <c r="CD13" s="501"/>
      <c r="CE13" s="501"/>
      <c r="CF13" s="501"/>
      <c r="CG13" s="501"/>
      <c r="CH13" s="501"/>
      <c r="CI13" s="501"/>
      <c r="CJ13" s="501"/>
      <c r="CK13" s="502"/>
      <c r="CM13" s="500">
        <f t="shared" si="3"/>
        <v>0.94993206903916561</v>
      </c>
      <c r="CN13" s="501">
        <f t="shared" si="7"/>
        <v>0.93638006279845165</v>
      </c>
      <c r="CO13" s="501">
        <f t="shared" si="13"/>
        <v>0.92282805655773781</v>
      </c>
      <c r="CP13" s="501">
        <f t="shared" si="17"/>
        <v>0.90927605031702408</v>
      </c>
      <c r="CQ13" s="501">
        <f t="shared" ref="CQ13:CQ42" si="22">AV13*$BJ12*$BK12</f>
        <v>0.89572404407631012</v>
      </c>
      <c r="CR13" s="501"/>
      <c r="CS13" s="501"/>
      <c r="CT13" s="501"/>
      <c r="CU13" s="501"/>
      <c r="CV13" s="501"/>
      <c r="CW13" s="501"/>
      <c r="CX13" s="501"/>
      <c r="CY13" s="502"/>
    </row>
    <row r="14" spans="1:103" ht="14.4" x14ac:dyDescent="0.3">
      <c r="A14" s="335"/>
      <c r="B14" s="302" t="str">
        <f t="shared" si="4"/>
        <v>Mid-EastNational Secondary</v>
      </c>
      <c r="C14" s="312" t="s">
        <v>212</v>
      </c>
      <c r="D14" s="304" t="s">
        <v>211</v>
      </c>
      <c r="E14" s="362">
        <v>1.0114552299999999</v>
      </c>
      <c r="F14" s="363">
        <v>1.00240302</v>
      </c>
      <c r="G14" s="775">
        <v>1</v>
      </c>
      <c r="H14" s="776">
        <v>1.0144670200000001</v>
      </c>
      <c r="I14" s="777">
        <v>1.0054495999999999</v>
      </c>
      <c r="J14" s="775">
        <v>1</v>
      </c>
      <c r="K14" s="776">
        <v>1.01581414</v>
      </c>
      <c r="L14" s="777">
        <v>1.0061433000000002</v>
      </c>
      <c r="M14" s="779">
        <v>1</v>
      </c>
      <c r="N14" s="367"/>
      <c r="O14" s="335"/>
      <c r="P14" s="313">
        <v>2018</v>
      </c>
      <c r="Q14" s="314">
        <v>6</v>
      </c>
      <c r="R14" s="310">
        <f t="shared" si="8"/>
        <v>1.0575941799999997</v>
      </c>
      <c r="S14" s="307">
        <f t="shared" si="8"/>
        <v>1.0479951499999998</v>
      </c>
      <c r="T14" s="307">
        <f t="shared" ref="T14:T25" si="23">$E$8+(T13-1)</f>
        <v>1.0383961199999998</v>
      </c>
      <c r="U14" s="307">
        <f t="shared" ref="U14:U25" si="24">$E$8+(U13-1)</f>
        <v>1.0287970899999999</v>
      </c>
      <c r="V14" s="307">
        <f t="shared" ref="V14:V25" si="25">$E$8+(V13-1)</f>
        <v>1.0191980599999999</v>
      </c>
      <c r="W14" s="315">
        <f>E8</f>
        <v>1.00959903</v>
      </c>
      <c r="X14" s="308"/>
      <c r="Y14" s="308"/>
      <c r="Z14" s="308"/>
      <c r="AA14" s="308"/>
      <c r="AB14" s="308"/>
      <c r="AC14" s="308"/>
      <c r="AD14" s="309"/>
      <c r="AE14" s="310">
        <f t="shared" si="9"/>
        <v>1.08353704</v>
      </c>
      <c r="AF14" s="315">
        <f t="shared" si="9"/>
        <v>1.0696142</v>
      </c>
      <c r="AG14" s="315">
        <f t="shared" si="9"/>
        <v>1.05569136</v>
      </c>
      <c r="AH14" s="315">
        <f t="shared" si="9"/>
        <v>1.04176852</v>
      </c>
      <c r="AI14" s="315">
        <f t="shared" si="9"/>
        <v>1.02784568</v>
      </c>
      <c r="AJ14" s="315">
        <f>H8</f>
        <v>1.01392284</v>
      </c>
      <c r="AK14" s="308"/>
      <c r="AL14" s="308"/>
      <c r="AM14" s="308"/>
      <c r="AN14" s="308"/>
      <c r="AO14" s="308"/>
      <c r="AP14" s="308"/>
      <c r="AQ14" s="311"/>
      <c r="AR14" s="310">
        <f t="shared" si="10"/>
        <v>1.09217254</v>
      </c>
      <c r="AS14" s="307">
        <f t="shared" si="10"/>
        <v>1.07681045</v>
      </c>
      <c r="AT14" s="307">
        <f t="shared" ref="AT14" si="26">$K$8+(AT13-1)</f>
        <v>1.06144836</v>
      </c>
      <c r="AU14" s="307">
        <f t="shared" ref="AU14" si="27">$K$8+(AU13-1)</f>
        <v>1.04608627</v>
      </c>
      <c r="AV14" s="307">
        <f t="shared" ref="AV14" si="28">$K$8+(AV13-1)</f>
        <v>1.03072418</v>
      </c>
      <c r="AW14" s="315">
        <f>K8</f>
        <v>1.01536209</v>
      </c>
      <c r="AX14" s="308"/>
      <c r="AY14" s="308"/>
      <c r="AZ14" s="308"/>
      <c r="BA14" s="308"/>
      <c r="BB14" s="308"/>
      <c r="BC14" s="308"/>
      <c r="BD14" s="311"/>
      <c r="BE14" s="335"/>
      <c r="BF14" s="288"/>
      <c r="BG14" s="535"/>
      <c r="BH14" s="373">
        <v>2018</v>
      </c>
      <c r="BI14" s="374">
        <v>8</v>
      </c>
      <c r="BJ14" s="433">
        <f t="shared" si="0"/>
        <v>1.1805916207174114</v>
      </c>
      <c r="BK14" s="435">
        <f t="shared" si="14"/>
        <v>0.71068133013012147</v>
      </c>
      <c r="BL14" s="500">
        <f t="shared" si="1"/>
        <v>0.90987765074765148</v>
      </c>
      <c r="BM14" s="500">
        <f t="shared" si="5"/>
        <v>0.90161933859822563</v>
      </c>
      <c r="BN14" s="501">
        <f t="shared" si="11"/>
        <v>0.89336102644879956</v>
      </c>
      <c r="BO14" s="520">
        <f t="shared" si="15"/>
        <v>0.88510271429937359</v>
      </c>
      <c r="BP14" s="520">
        <f t="shared" si="20"/>
        <v>0.87684440214994774</v>
      </c>
      <c r="BQ14" s="520">
        <f t="shared" ref="BQ14:BQ43" si="29">W14*$BJ13*$BK13</f>
        <v>0.86858609000052156</v>
      </c>
      <c r="BR14" s="501"/>
      <c r="BS14" s="501"/>
      <c r="BT14" s="501"/>
      <c r="BU14" s="501"/>
      <c r="BV14" s="501"/>
      <c r="BW14" s="501"/>
      <c r="BX14" s="502"/>
      <c r="BY14" s="500">
        <f t="shared" si="2"/>
        <v>0.93219701384255382</v>
      </c>
      <c r="BZ14" s="501">
        <f t="shared" si="6"/>
        <v>0.89743243736403144</v>
      </c>
      <c r="CA14" s="501">
        <f t="shared" si="12"/>
        <v>0.8857508345616103</v>
      </c>
      <c r="CB14" s="501">
        <f t="shared" si="16"/>
        <v>0.87406923175918927</v>
      </c>
      <c r="CC14" s="501">
        <f t="shared" si="21"/>
        <v>0.86238762895676802</v>
      </c>
      <c r="CD14" s="501">
        <f t="shared" ref="CD14:CD43" si="30">AJ14*BJ14*BK14</f>
        <v>0.85070602615434687</v>
      </c>
      <c r="CE14" s="501"/>
      <c r="CF14" s="501"/>
      <c r="CG14" s="501"/>
      <c r="CH14" s="501"/>
      <c r="CI14" s="501"/>
      <c r="CJ14" s="501"/>
      <c r="CK14" s="502"/>
      <c r="CM14" s="500">
        <f t="shared" si="3"/>
        <v>0.93962637436818697</v>
      </c>
      <c r="CN14" s="501">
        <f t="shared" si="7"/>
        <v>0.92640994161533829</v>
      </c>
      <c r="CO14" s="501">
        <f t="shared" si="13"/>
        <v>0.91319350886248984</v>
      </c>
      <c r="CP14" s="501">
        <f t="shared" si="17"/>
        <v>0.89997707610964139</v>
      </c>
      <c r="CQ14" s="501">
        <f t="shared" si="22"/>
        <v>0.88676064335679283</v>
      </c>
      <c r="CR14" s="501">
        <f t="shared" ref="CR14:CR43" si="31">AW14*$BJ13*$BK13</f>
        <v>0.87354421060394416</v>
      </c>
      <c r="CS14" s="501"/>
      <c r="CT14" s="501"/>
      <c r="CU14" s="501"/>
      <c r="CV14" s="501"/>
      <c r="CW14" s="501"/>
      <c r="CX14" s="501"/>
      <c r="CY14" s="502"/>
    </row>
    <row r="15" spans="1:103" ht="14.4" x14ac:dyDescent="0.3">
      <c r="A15" s="335"/>
      <c r="B15" s="302" t="str">
        <f t="shared" si="4"/>
        <v>MidlandMotorway</v>
      </c>
      <c r="C15" s="318" t="s">
        <v>191</v>
      </c>
      <c r="D15" s="319" t="s">
        <v>28</v>
      </c>
      <c r="E15" s="360">
        <v>1.0118352499999999</v>
      </c>
      <c r="F15" s="361">
        <v>1.0027852400000001</v>
      </c>
      <c r="G15" s="784">
        <v>1</v>
      </c>
      <c r="H15" s="785">
        <v>1.0149067700000001</v>
      </c>
      <c r="I15" s="786">
        <v>1.0061335599999999</v>
      </c>
      <c r="J15" s="784">
        <v>1</v>
      </c>
      <c r="K15" s="785">
        <v>1.0159583999999999</v>
      </c>
      <c r="L15" s="786">
        <v>1.00521722</v>
      </c>
      <c r="M15" s="787">
        <v>1</v>
      </c>
      <c r="N15" s="367"/>
      <c r="O15" s="335"/>
      <c r="P15" s="313">
        <v>2019</v>
      </c>
      <c r="Q15" s="314">
        <v>7</v>
      </c>
      <c r="R15" s="310">
        <f t="shared" si="8"/>
        <v>1.0671932099999997</v>
      </c>
      <c r="S15" s="307">
        <f t="shared" si="8"/>
        <v>1.0575941799999997</v>
      </c>
      <c r="T15" s="307">
        <f t="shared" si="23"/>
        <v>1.0479951499999998</v>
      </c>
      <c r="U15" s="307">
        <f t="shared" si="24"/>
        <v>1.0383961199999998</v>
      </c>
      <c r="V15" s="307">
        <f t="shared" si="25"/>
        <v>1.0287970899999999</v>
      </c>
      <c r="W15" s="307">
        <f t="shared" ref="W15:W25" si="32">$E$8+(W14-1)</f>
        <v>1.0191980599999999</v>
      </c>
      <c r="X15" s="315">
        <f>E8</f>
        <v>1.00959903</v>
      </c>
      <c r="Y15" s="308"/>
      <c r="Z15" s="308"/>
      <c r="AA15" s="308"/>
      <c r="AB15" s="308"/>
      <c r="AC15" s="308"/>
      <c r="AD15" s="309"/>
      <c r="AE15" s="310">
        <f t="shared" si="9"/>
        <v>1.0974598799999999</v>
      </c>
      <c r="AF15" s="315">
        <f t="shared" si="9"/>
        <v>1.08353704</v>
      </c>
      <c r="AG15" s="315">
        <f t="shared" si="9"/>
        <v>1.0696142</v>
      </c>
      <c r="AH15" s="315">
        <f t="shared" si="9"/>
        <v>1.05569136</v>
      </c>
      <c r="AI15" s="315">
        <f>$H$8+(AI14-1)</f>
        <v>1.04176852</v>
      </c>
      <c r="AJ15" s="315">
        <f>$H$8+(AJ14-1)</f>
        <v>1.02784568</v>
      </c>
      <c r="AK15" s="315">
        <f>H8</f>
        <v>1.01392284</v>
      </c>
      <c r="AL15" s="308"/>
      <c r="AM15" s="308"/>
      <c r="AN15" s="308"/>
      <c r="AO15" s="308"/>
      <c r="AP15" s="308"/>
      <c r="AQ15" s="311"/>
      <c r="AR15" s="310">
        <f t="shared" si="10"/>
        <v>1.10753463</v>
      </c>
      <c r="AS15" s="307">
        <f t="shared" si="10"/>
        <v>1.09217254</v>
      </c>
      <c r="AT15" s="307">
        <f t="shared" ref="AT15" si="33">$K$8+(AT14-1)</f>
        <v>1.07681045</v>
      </c>
      <c r="AU15" s="307">
        <f t="shared" ref="AU15" si="34">$K$8+(AU14-1)</f>
        <v>1.06144836</v>
      </c>
      <c r="AV15" s="307">
        <f t="shared" ref="AV15" si="35">$K$8+(AV14-1)</f>
        <v>1.04608627</v>
      </c>
      <c r="AW15" s="307">
        <f t="shared" ref="AW15" si="36">$K$8+(AW14-1)</f>
        <v>1.03072418</v>
      </c>
      <c r="AX15" s="315">
        <f>K8</f>
        <v>1.01536209</v>
      </c>
      <c r="AY15" s="308"/>
      <c r="AZ15" s="308"/>
      <c r="BA15" s="308"/>
      <c r="BB15" s="308"/>
      <c r="BC15" s="308"/>
      <c r="BD15" s="311"/>
      <c r="BE15" s="335"/>
      <c r="BF15" s="288"/>
      <c r="BG15" s="535"/>
      <c r="BH15" s="373">
        <v>2019</v>
      </c>
      <c r="BI15" s="374">
        <v>9</v>
      </c>
      <c r="BJ15" s="433">
        <f t="shared" si="0"/>
        <v>1.2089258196146291</v>
      </c>
      <c r="BK15" s="435">
        <f t="shared" si="14"/>
        <v>0.67683936202868722</v>
      </c>
      <c r="BL15" s="500">
        <f t="shared" si="1"/>
        <v>0.89540116762534039</v>
      </c>
      <c r="BM15" s="500">
        <f t="shared" si="5"/>
        <v>0.88734734701485252</v>
      </c>
      <c r="BN15" s="501">
        <f t="shared" si="11"/>
        <v>0.87929352640436476</v>
      </c>
      <c r="BO15" s="520">
        <f t="shared" si="15"/>
        <v>0.87123970579387711</v>
      </c>
      <c r="BP15" s="520">
        <f t="shared" si="20"/>
        <v>0.86318588518338923</v>
      </c>
      <c r="BQ15" s="520">
        <f t="shared" si="29"/>
        <v>0.85513206457290147</v>
      </c>
      <c r="BR15" s="520">
        <f t="shared" ref="BR15:BR44" si="37">X15*$BJ14*$BK14</f>
        <v>0.8470782439624136</v>
      </c>
      <c r="BS15" s="501"/>
      <c r="BT15" s="501"/>
      <c r="BU15" s="501"/>
      <c r="BV15" s="501"/>
      <c r="BW15" s="501"/>
      <c r="BX15" s="502"/>
      <c r="BY15" s="500">
        <f t="shared" si="2"/>
        <v>0.92079564296887362</v>
      </c>
      <c r="BZ15" s="501">
        <f t="shared" si="6"/>
        <v>0.88660264488614049</v>
      </c>
      <c r="CA15" s="501">
        <f t="shared" si="12"/>
        <v>0.87521030081977913</v>
      </c>
      <c r="CB15" s="501">
        <f t="shared" si="16"/>
        <v>0.86381795675341799</v>
      </c>
      <c r="CC15" s="501">
        <f t="shared" si="21"/>
        <v>0.85242561268705686</v>
      </c>
      <c r="CD15" s="501">
        <f t="shared" si="30"/>
        <v>0.84103326862069572</v>
      </c>
      <c r="CE15" s="501">
        <f t="shared" ref="CE15:CE44" si="38">AK15*BJ15*BK15</f>
        <v>0.82964092455433447</v>
      </c>
      <c r="CF15" s="501"/>
      <c r="CG15" s="501"/>
      <c r="CH15" s="501"/>
      <c r="CI15" s="501"/>
      <c r="CJ15" s="501"/>
      <c r="CK15" s="502"/>
      <c r="CM15" s="500">
        <f t="shared" si="3"/>
        <v>0.92924860427803857</v>
      </c>
      <c r="CN15" s="501">
        <f t="shared" si="7"/>
        <v>0.9163594355743081</v>
      </c>
      <c r="CO15" s="501">
        <f t="shared" si="13"/>
        <v>0.90347026687057774</v>
      </c>
      <c r="CP15" s="501">
        <f t="shared" si="17"/>
        <v>0.89058109816684738</v>
      </c>
      <c r="CQ15" s="501">
        <f t="shared" si="22"/>
        <v>0.87769192946311703</v>
      </c>
      <c r="CR15" s="501">
        <f t="shared" si="31"/>
        <v>0.86480276075938656</v>
      </c>
      <c r="CS15" s="501">
        <f t="shared" ref="CS15:CS44" si="39">AX15*$BJ14*$BK14</f>
        <v>0.8519135920556562</v>
      </c>
      <c r="CT15" s="501"/>
      <c r="CU15" s="501"/>
      <c r="CV15" s="501"/>
      <c r="CW15" s="501"/>
      <c r="CX15" s="501"/>
      <c r="CY15" s="502"/>
    </row>
    <row r="16" spans="1:103" ht="14.4" x14ac:dyDescent="0.3">
      <c r="A16" s="335"/>
      <c r="B16" s="302" t="str">
        <f t="shared" si="4"/>
        <v>MidlandNational Primary</v>
      </c>
      <c r="C16" s="312" t="s">
        <v>191</v>
      </c>
      <c r="D16" s="304" t="s">
        <v>210</v>
      </c>
      <c r="E16" s="360">
        <v>1.0095050999999999</v>
      </c>
      <c r="F16" s="361">
        <v>1.0004544900000001</v>
      </c>
      <c r="G16" s="775">
        <v>1</v>
      </c>
      <c r="H16" s="776">
        <v>1.0126078200000002</v>
      </c>
      <c r="I16" s="777">
        <v>1.0037844599999999</v>
      </c>
      <c r="J16" s="775">
        <v>1</v>
      </c>
      <c r="K16" s="776">
        <v>1.0136713499999999</v>
      </c>
      <c r="L16" s="777">
        <v>1.0027906200000001</v>
      </c>
      <c r="M16" s="779">
        <v>1</v>
      </c>
      <c r="N16" s="367"/>
      <c r="O16" s="335"/>
      <c r="P16" s="313">
        <v>2020</v>
      </c>
      <c r="Q16" s="314">
        <v>8</v>
      </c>
      <c r="R16" s="310">
        <f t="shared" si="8"/>
        <v>1.0767922399999996</v>
      </c>
      <c r="S16" s="307">
        <f t="shared" si="8"/>
        <v>1.0671932099999997</v>
      </c>
      <c r="T16" s="307">
        <f t="shared" si="23"/>
        <v>1.0575941799999997</v>
      </c>
      <c r="U16" s="307">
        <f t="shared" si="24"/>
        <v>1.0479951499999998</v>
      </c>
      <c r="V16" s="307">
        <f t="shared" si="25"/>
        <v>1.0383961199999998</v>
      </c>
      <c r="W16" s="307">
        <f t="shared" si="32"/>
        <v>1.0287970899999999</v>
      </c>
      <c r="X16" s="307">
        <f t="shared" ref="X16:X25" si="40">$E$8+(X15-1)</f>
        <v>1.0191980599999999</v>
      </c>
      <c r="Y16" s="315">
        <f>E8</f>
        <v>1.00959903</v>
      </c>
      <c r="Z16" s="308"/>
      <c r="AA16" s="308"/>
      <c r="AB16" s="308"/>
      <c r="AC16" s="308"/>
      <c r="AD16" s="309"/>
      <c r="AE16" s="310">
        <f t="shared" si="9"/>
        <v>1.1113827199999999</v>
      </c>
      <c r="AF16" s="315">
        <f t="shared" si="9"/>
        <v>1.0974598799999999</v>
      </c>
      <c r="AG16" s="315">
        <f t="shared" si="9"/>
        <v>1.08353704</v>
      </c>
      <c r="AH16" s="315">
        <f t="shared" si="9"/>
        <v>1.0696142</v>
      </c>
      <c r="AI16" s="315">
        <f t="shared" si="9"/>
        <v>1.05569136</v>
      </c>
      <c r="AJ16" s="315">
        <f t="shared" si="9"/>
        <v>1.04176852</v>
      </c>
      <c r="AK16" s="315">
        <f t="shared" si="9"/>
        <v>1.02784568</v>
      </c>
      <c r="AL16" s="315">
        <f>H8</f>
        <v>1.01392284</v>
      </c>
      <c r="AM16" s="308"/>
      <c r="AN16" s="308"/>
      <c r="AO16" s="308"/>
      <c r="AP16" s="308"/>
      <c r="AQ16" s="311"/>
      <c r="AR16" s="310">
        <f t="shared" si="10"/>
        <v>1.12289672</v>
      </c>
      <c r="AS16" s="307">
        <f t="shared" si="10"/>
        <v>1.10753463</v>
      </c>
      <c r="AT16" s="307">
        <f t="shared" ref="AT16" si="41">$K$8+(AT15-1)</f>
        <v>1.09217254</v>
      </c>
      <c r="AU16" s="307">
        <f t="shared" ref="AU16" si="42">$K$8+(AU15-1)</f>
        <v>1.07681045</v>
      </c>
      <c r="AV16" s="307">
        <f t="shared" ref="AV16" si="43">$K$8+(AV15-1)</f>
        <v>1.06144836</v>
      </c>
      <c r="AW16" s="307">
        <f t="shared" ref="AW16" si="44">$K$8+(AW15-1)</f>
        <v>1.04608627</v>
      </c>
      <c r="AX16" s="307">
        <f t="shared" ref="AX16" si="45">$K$8+(AX15-1)</f>
        <v>1.03072418</v>
      </c>
      <c r="AY16" s="315">
        <f>K8</f>
        <v>1.01536209</v>
      </c>
      <c r="AZ16" s="308"/>
      <c r="BA16" s="308"/>
      <c r="BB16" s="308"/>
      <c r="BC16" s="308"/>
      <c r="BD16" s="311"/>
      <c r="BE16" s="335"/>
      <c r="BF16" s="288"/>
      <c r="BG16" s="535"/>
      <c r="BH16" s="515">
        <v>2020</v>
      </c>
      <c r="BI16" s="372">
        <v>10</v>
      </c>
      <c r="BJ16" s="433">
        <f t="shared" si="0"/>
        <v>1.2379400392853801</v>
      </c>
      <c r="BK16" s="435">
        <f t="shared" si="14"/>
        <v>0.64460891621779726</v>
      </c>
      <c r="BL16" s="500">
        <f t="shared" si="1"/>
        <v>0.8810837218604648</v>
      </c>
      <c r="BM16" s="500">
        <f t="shared" si="5"/>
        <v>0.87322932918890339</v>
      </c>
      <c r="BN16" s="501">
        <f t="shared" si="11"/>
        <v>0.86537493651734199</v>
      </c>
      <c r="BO16" s="520">
        <f t="shared" si="15"/>
        <v>0.85752054384578047</v>
      </c>
      <c r="BP16" s="520">
        <f t="shared" si="20"/>
        <v>0.84966615117421906</v>
      </c>
      <c r="BQ16" s="520">
        <f t="shared" si="29"/>
        <v>0.84181175850265766</v>
      </c>
      <c r="BR16" s="520">
        <f t="shared" si="37"/>
        <v>0.83395736583109625</v>
      </c>
      <c r="BS16" s="520">
        <f t="shared" ref="BS16:BS45" si="46">Y16*$BJ15*$BK15</f>
        <v>0.82610297315953474</v>
      </c>
      <c r="BT16" s="501"/>
      <c r="BU16" s="501"/>
      <c r="BV16" s="501"/>
      <c r="BW16" s="501"/>
      <c r="BX16" s="502"/>
      <c r="BY16" s="500">
        <f t="shared" si="2"/>
        <v>0.90938733301886265</v>
      </c>
      <c r="BZ16" s="501">
        <f t="shared" si="6"/>
        <v>0.87575892255939169</v>
      </c>
      <c r="CA16" s="501">
        <f t="shared" si="12"/>
        <v>0.86464867463181672</v>
      </c>
      <c r="CB16" s="501">
        <f t="shared" si="16"/>
        <v>0.85353842670424163</v>
      </c>
      <c r="CC16" s="501">
        <f t="shared" si="21"/>
        <v>0.84242817877666654</v>
      </c>
      <c r="CD16" s="501">
        <f t="shared" si="30"/>
        <v>0.83131793084909145</v>
      </c>
      <c r="CE16" s="501">
        <f t="shared" si="38"/>
        <v>0.82020768292151636</v>
      </c>
      <c r="CF16" s="501">
        <f t="shared" ref="CF16:CF45" si="47">AL16*BJ16*BK16</f>
        <v>0.80909743499394127</v>
      </c>
      <c r="CG16" s="501"/>
      <c r="CH16" s="501"/>
      <c r="CI16" s="501"/>
      <c r="CJ16" s="501"/>
      <c r="CK16" s="502"/>
      <c r="CM16" s="500">
        <f t="shared" si="3"/>
        <v>0.9188086471746012</v>
      </c>
      <c r="CN16" s="501">
        <f t="shared" si="7"/>
        <v>0.90623863883877265</v>
      </c>
      <c r="CO16" s="501">
        <f t="shared" si="13"/>
        <v>0.89366863050294432</v>
      </c>
      <c r="CP16" s="501">
        <f t="shared" si="17"/>
        <v>0.88109862216711576</v>
      </c>
      <c r="CQ16" s="501">
        <f t="shared" si="22"/>
        <v>0.86852861383128732</v>
      </c>
      <c r="CR16" s="501">
        <f t="shared" si="31"/>
        <v>0.85595860549545888</v>
      </c>
      <c r="CS16" s="501">
        <f t="shared" si="39"/>
        <v>0.84338859715963033</v>
      </c>
      <c r="CT16" s="501">
        <f t="shared" ref="CT16:CT45" si="48">AY16*$BJ15*$BK15</f>
        <v>0.83081858882380188</v>
      </c>
      <c r="CU16" s="501"/>
      <c r="CV16" s="501"/>
      <c r="CW16" s="501"/>
      <c r="CX16" s="501"/>
      <c r="CY16" s="502"/>
    </row>
    <row r="17" spans="1:103" ht="14.4" x14ac:dyDescent="0.3">
      <c r="A17" s="335"/>
      <c r="B17" s="302" t="str">
        <f t="shared" si="4"/>
        <v>MidlandNational Secondary</v>
      </c>
      <c r="C17" s="316" t="s">
        <v>191</v>
      </c>
      <c r="D17" s="317" t="s">
        <v>211</v>
      </c>
      <c r="E17" s="362">
        <v>1.0094784999999999</v>
      </c>
      <c r="F17" s="363">
        <v>1.0004262900000001</v>
      </c>
      <c r="G17" s="780">
        <v>1</v>
      </c>
      <c r="H17" s="781">
        <v>1.01258442</v>
      </c>
      <c r="I17" s="782">
        <v>1.0037552599999999</v>
      </c>
      <c r="J17" s="780">
        <v>1</v>
      </c>
      <c r="K17" s="781">
        <v>1.01364915</v>
      </c>
      <c r="L17" s="782">
        <v>1.0027546200000002</v>
      </c>
      <c r="M17" s="783">
        <v>1</v>
      </c>
      <c r="N17" s="367"/>
      <c r="O17" s="335"/>
      <c r="P17" s="313">
        <v>2021</v>
      </c>
      <c r="Q17" s="314">
        <v>9</v>
      </c>
      <c r="R17" s="310">
        <f t="shared" si="8"/>
        <v>1.0863912699999996</v>
      </c>
      <c r="S17" s="307">
        <f t="shared" si="8"/>
        <v>1.0767922399999996</v>
      </c>
      <c r="T17" s="307">
        <f t="shared" si="23"/>
        <v>1.0671932099999997</v>
      </c>
      <c r="U17" s="307">
        <f t="shared" si="24"/>
        <v>1.0575941799999997</v>
      </c>
      <c r="V17" s="307">
        <f t="shared" si="25"/>
        <v>1.0479951499999998</v>
      </c>
      <c r="W17" s="307">
        <f t="shared" si="32"/>
        <v>1.0383961199999998</v>
      </c>
      <c r="X17" s="307">
        <f t="shared" si="40"/>
        <v>1.0287970899999999</v>
      </c>
      <c r="Y17" s="307">
        <f t="shared" ref="Y17:Y25" si="49">$E$8+(Y16-1)</f>
        <v>1.0191980599999999</v>
      </c>
      <c r="Z17" s="315">
        <f>E8</f>
        <v>1.00959903</v>
      </c>
      <c r="AA17" s="308"/>
      <c r="AB17" s="308"/>
      <c r="AC17" s="308"/>
      <c r="AD17" s="309"/>
      <c r="AE17" s="310">
        <f t="shared" si="9"/>
        <v>1.1253055599999999</v>
      </c>
      <c r="AF17" s="315">
        <f t="shared" si="9"/>
        <v>1.1113827199999999</v>
      </c>
      <c r="AG17" s="315">
        <f t="shared" si="9"/>
        <v>1.0974598799999999</v>
      </c>
      <c r="AH17" s="315">
        <f t="shared" si="9"/>
        <v>1.08353704</v>
      </c>
      <c r="AI17" s="315">
        <f t="shared" si="9"/>
        <v>1.0696142</v>
      </c>
      <c r="AJ17" s="315">
        <f t="shared" si="9"/>
        <v>1.05569136</v>
      </c>
      <c r="AK17" s="315">
        <f t="shared" si="9"/>
        <v>1.04176852</v>
      </c>
      <c r="AL17" s="315">
        <f t="shared" si="9"/>
        <v>1.02784568</v>
      </c>
      <c r="AM17" s="315">
        <f>H8</f>
        <v>1.01392284</v>
      </c>
      <c r="AN17" s="308"/>
      <c r="AO17" s="308"/>
      <c r="AP17" s="308"/>
      <c r="AQ17" s="311"/>
      <c r="AR17" s="310">
        <f t="shared" si="10"/>
        <v>1.13825881</v>
      </c>
      <c r="AS17" s="307">
        <f t="shared" si="10"/>
        <v>1.12289672</v>
      </c>
      <c r="AT17" s="307">
        <f t="shared" ref="AT17" si="50">$K$8+(AT16-1)</f>
        <v>1.10753463</v>
      </c>
      <c r="AU17" s="307">
        <f t="shared" ref="AU17" si="51">$K$8+(AU16-1)</f>
        <v>1.09217254</v>
      </c>
      <c r="AV17" s="307">
        <f t="shared" ref="AV17" si="52">$K$8+(AV16-1)</f>
        <v>1.07681045</v>
      </c>
      <c r="AW17" s="307">
        <f t="shared" ref="AW17" si="53">$K$8+(AW16-1)</f>
        <v>1.06144836</v>
      </c>
      <c r="AX17" s="307">
        <f t="shared" ref="AX17" si="54">$K$8+(AX16-1)</f>
        <v>1.04608627</v>
      </c>
      <c r="AY17" s="307">
        <f t="shared" ref="AY17" si="55">$K$8+(AY16-1)</f>
        <v>1.03072418</v>
      </c>
      <c r="AZ17" s="315">
        <f>K8</f>
        <v>1.01536209</v>
      </c>
      <c r="BA17" s="308"/>
      <c r="BB17" s="308"/>
      <c r="BC17" s="308"/>
      <c r="BD17" s="311"/>
      <c r="BE17" s="335"/>
      <c r="BF17" s="288"/>
      <c r="BG17" s="535"/>
      <c r="BH17" s="436">
        <v>2021</v>
      </c>
      <c r="BI17" s="437">
        <v>11</v>
      </c>
      <c r="BJ17" s="433">
        <f t="shared" si="0"/>
        <v>1.2676506002282293</v>
      </c>
      <c r="BK17" s="435">
        <f t="shared" si="14"/>
        <v>0.61391325354075932</v>
      </c>
      <c r="BL17" s="500">
        <f t="shared" si="1"/>
        <v>0.86692631360075678</v>
      </c>
      <c r="BM17" s="500">
        <f t="shared" si="5"/>
        <v>0.85926641065249132</v>
      </c>
      <c r="BN17" s="501">
        <f t="shared" si="11"/>
        <v>0.85160650770422563</v>
      </c>
      <c r="BO17" s="520">
        <f t="shared" si="15"/>
        <v>0.84394660475595995</v>
      </c>
      <c r="BP17" s="520">
        <f t="shared" si="20"/>
        <v>0.83628670180769438</v>
      </c>
      <c r="BQ17" s="520">
        <f t="shared" si="29"/>
        <v>0.82862679885942869</v>
      </c>
      <c r="BR17" s="520">
        <f t="shared" si="37"/>
        <v>0.82096689591116312</v>
      </c>
      <c r="BS17" s="520">
        <f t="shared" si="46"/>
        <v>0.81330699296289743</v>
      </c>
      <c r="BT17" s="520">
        <f t="shared" ref="BT17:BT46" si="56">Z17*$BJ16*$BK16</f>
        <v>0.80564709001463186</v>
      </c>
      <c r="BU17" s="501"/>
      <c r="BV17" s="501"/>
      <c r="BW17" s="501"/>
      <c r="BX17" s="502"/>
      <c r="BY17" s="500">
        <f t="shared" si="2"/>
        <v>0.89797941841454187</v>
      </c>
      <c r="BZ17" s="501">
        <f t="shared" si="6"/>
        <v>0.86490860055109908</v>
      </c>
      <c r="CA17" s="501">
        <f t="shared" si="12"/>
        <v>0.85407346352458791</v>
      </c>
      <c r="CB17" s="501">
        <f t="shared" si="16"/>
        <v>0.84323832649807662</v>
      </c>
      <c r="CC17" s="501">
        <f t="shared" si="21"/>
        <v>0.83240318947156533</v>
      </c>
      <c r="CD17" s="501">
        <f t="shared" si="30"/>
        <v>0.82156805244505393</v>
      </c>
      <c r="CE17" s="501">
        <f t="shared" si="38"/>
        <v>0.81073291541854264</v>
      </c>
      <c r="CF17" s="501">
        <f t="shared" si="47"/>
        <v>0.79989777839203136</v>
      </c>
      <c r="CG17" s="501">
        <f t="shared" ref="CG17:CG46" si="57">AM17*BJ17*BK17</f>
        <v>0.78906264136551996</v>
      </c>
      <c r="CH17" s="501"/>
      <c r="CI17" s="501"/>
      <c r="CJ17" s="501"/>
      <c r="CK17" s="502"/>
      <c r="CM17" s="500">
        <f t="shared" si="3"/>
        <v>0.90831594594540932</v>
      </c>
      <c r="CN17" s="501">
        <f t="shared" si="7"/>
        <v>0.89605719495884895</v>
      </c>
      <c r="CO17" s="501">
        <f t="shared" si="13"/>
        <v>0.88379844397228857</v>
      </c>
      <c r="CP17" s="501">
        <f t="shared" si="17"/>
        <v>0.87153969298572842</v>
      </c>
      <c r="CQ17" s="501">
        <f t="shared" si="22"/>
        <v>0.85928094199916794</v>
      </c>
      <c r="CR17" s="501">
        <f t="shared" si="31"/>
        <v>0.84702219101260756</v>
      </c>
      <c r="CS17" s="501">
        <f t="shared" si="39"/>
        <v>0.83476344002604719</v>
      </c>
      <c r="CT17" s="501">
        <f t="shared" si="48"/>
        <v>0.82250468903948704</v>
      </c>
      <c r="CU17" s="501">
        <f t="shared" ref="CU17:CU46" si="58">AZ17*$BJ16*$BK16</f>
        <v>0.81024593805292655</v>
      </c>
      <c r="CV17" s="501"/>
      <c r="CW17" s="501"/>
      <c r="CX17" s="501"/>
      <c r="CY17" s="502"/>
    </row>
    <row r="18" spans="1:103" ht="14.4" x14ac:dyDescent="0.3">
      <c r="A18" s="335"/>
      <c r="B18" s="302" t="str">
        <f t="shared" si="4"/>
        <v>BorderMotorway</v>
      </c>
      <c r="C18" s="303" t="s">
        <v>188</v>
      </c>
      <c r="D18" s="304" t="s">
        <v>28</v>
      </c>
      <c r="E18" s="360">
        <v>1.0112845699999999</v>
      </c>
      <c r="F18" s="361">
        <v>1.0028770199999999</v>
      </c>
      <c r="G18" s="775">
        <v>1</v>
      </c>
      <c r="H18" s="776">
        <v>1.0143560900000002</v>
      </c>
      <c r="I18" s="777">
        <v>1.0061335599999999</v>
      </c>
      <c r="J18" s="775">
        <v>1</v>
      </c>
      <c r="K18" s="776">
        <v>1.01531594</v>
      </c>
      <c r="L18" s="777">
        <v>1.0076035000000001</v>
      </c>
      <c r="M18" s="779">
        <v>1</v>
      </c>
      <c r="N18" s="367"/>
      <c r="O18" s="335"/>
      <c r="P18" s="313">
        <v>2022</v>
      </c>
      <c r="Q18" s="314">
        <v>10</v>
      </c>
      <c r="R18" s="310">
        <f t="shared" si="8"/>
        <v>1.0959902999999995</v>
      </c>
      <c r="S18" s="307">
        <f t="shared" si="8"/>
        <v>1.0863912699999996</v>
      </c>
      <c r="T18" s="307">
        <f t="shared" si="23"/>
        <v>1.0767922399999996</v>
      </c>
      <c r="U18" s="307">
        <f t="shared" si="24"/>
        <v>1.0671932099999997</v>
      </c>
      <c r="V18" s="307">
        <f t="shared" si="25"/>
        <v>1.0575941799999997</v>
      </c>
      <c r="W18" s="307">
        <f t="shared" si="32"/>
        <v>1.0479951499999998</v>
      </c>
      <c r="X18" s="307">
        <f t="shared" si="40"/>
        <v>1.0383961199999998</v>
      </c>
      <c r="Y18" s="307">
        <f t="shared" si="49"/>
        <v>1.0287970899999999</v>
      </c>
      <c r="Z18" s="307">
        <f t="shared" ref="Z18:Z25" si="59">$E$8+(Z17-1)</f>
        <v>1.0191980599999999</v>
      </c>
      <c r="AA18" s="315">
        <f>E8</f>
        <v>1.00959903</v>
      </c>
      <c r="AB18" s="308"/>
      <c r="AC18" s="308"/>
      <c r="AD18" s="309"/>
      <c r="AE18" s="310">
        <f t="shared" si="9"/>
        <v>1.1392283999999999</v>
      </c>
      <c r="AF18" s="315">
        <f t="shared" si="9"/>
        <v>1.1253055599999999</v>
      </c>
      <c r="AG18" s="315">
        <f t="shared" si="9"/>
        <v>1.1113827199999999</v>
      </c>
      <c r="AH18" s="315">
        <f t="shared" si="9"/>
        <v>1.0974598799999999</v>
      </c>
      <c r="AI18" s="315">
        <f t="shared" si="9"/>
        <v>1.08353704</v>
      </c>
      <c r="AJ18" s="315">
        <f t="shared" si="9"/>
        <v>1.0696142</v>
      </c>
      <c r="AK18" s="315">
        <f t="shared" si="9"/>
        <v>1.05569136</v>
      </c>
      <c r="AL18" s="315">
        <f t="shared" si="9"/>
        <v>1.04176852</v>
      </c>
      <c r="AM18" s="315">
        <f t="shared" si="9"/>
        <v>1.02784568</v>
      </c>
      <c r="AN18" s="315">
        <f>H8</f>
        <v>1.01392284</v>
      </c>
      <c r="AO18" s="308"/>
      <c r="AP18" s="308"/>
      <c r="AQ18" s="311"/>
      <c r="AR18" s="310">
        <f t="shared" si="10"/>
        <v>1.1536208999999999</v>
      </c>
      <c r="AS18" s="307">
        <f t="shared" si="10"/>
        <v>1.13825881</v>
      </c>
      <c r="AT18" s="307">
        <f t="shared" ref="AT18" si="60">$K$8+(AT17-1)</f>
        <v>1.12289672</v>
      </c>
      <c r="AU18" s="307">
        <f t="shared" ref="AU18" si="61">$K$8+(AU17-1)</f>
        <v>1.10753463</v>
      </c>
      <c r="AV18" s="307">
        <f t="shared" ref="AV18" si="62">$K$8+(AV17-1)</f>
        <v>1.09217254</v>
      </c>
      <c r="AW18" s="307">
        <f t="shared" ref="AW18" si="63">$K$8+(AW17-1)</f>
        <v>1.07681045</v>
      </c>
      <c r="AX18" s="307">
        <f t="shared" ref="AX18" si="64">$K$8+(AX17-1)</f>
        <v>1.06144836</v>
      </c>
      <c r="AY18" s="307">
        <f t="shared" ref="AY18" si="65">$K$8+(AY17-1)</f>
        <v>1.04608627</v>
      </c>
      <c r="AZ18" s="307">
        <f t="shared" ref="AZ18" si="66">$K$8+(AZ17-1)</f>
        <v>1.03072418</v>
      </c>
      <c r="BA18" s="315">
        <f>K8</f>
        <v>1.01536209</v>
      </c>
      <c r="BB18" s="308"/>
      <c r="BC18" s="308"/>
      <c r="BD18" s="311"/>
      <c r="BE18" s="335"/>
      <c r="BF18" s="288"/>
      <c r="BG18" s="535"/>
      <c r="BH18" s="373">
        <v>2022</v>
      </c>
      <c r="BI18" s="374">
        <v>12</v>
      </c>
      <c r="BJ18" s="433">
        <f t="shared" si="0"/>
        <v>1.298074214633707</v>
      </c>
      <c r="BK18" s="435">
        <f t="shared" si="14"/>
        <v>0.5846792890864374</v>
      </c>
      <c r="BL18" s="500">
        <f t="shared" si="1"/>
        <v>0.85292979594876106</v>
      </c>
      <c r="BM18" s="500">
        <f t="shared" si="5"/>
        <v>0.84545956678778578</v>
      </c>
      <c r="BN18" s="501">
        <f t="shared" si="11"/>
        <v>0.83798933762681049</v>
      </c>
      <c r="BO18" s="520">
        <f t="shared" si="15"/>
        <v>0.83051910846583532</v>
      </c>
      <c r="BP18" s="520">
        <f t="shared" si="20"/>
        <v>0.82304887930486004</v>
      </c>
      <c r="BQ18" s="520">
        <f t="shared" si="29"/>
        <v>0.81557865014388475</v>
      </c>
      <c r="BR18" s="520">
        <f t="shared" si="37"/>
        <v>0.80810842098290969</v>
      </c>
      <c r="BS18" s="520">
        <f t="shared" si="46"/>
        <v>0.80063819182193441</v>
      </c>
      <c r="BT18" s="520">
        <f t="shared" si="56"/>
        <v>0.79316796266095912</v>
      </c>
      <c r="BU18" s="520">
        <f t="shared" ref="BU18:BU47" si="67">AA18*$BJ17*$BK17</f>
        <v>0.78569773349998395</v>
      </c>
      <c r="BV18" s="501"/>
      <c r="BW18" s="501"/>
      <c r="BX18" s="502"/>
      <c r="BY18" s="500">
        <f t="shared" si="2"/>
        <v>0.88657887460412177</v>
      </c>
      <c r="BZ18" s="501">
        <f t="shared" si="6"/>
        <v>0.85405865455187924</v>
      </c>
      <c r="CA18" s="501">
        <f t="shared" si="12"/>
        <v>0.8434918161565006</v>
      </c>
      <c r="CB18" s="501">
        <f t="shared" si="16"/>
        <v>0.83292497776112195</v>
      </c>
      <c r="CC18" s="501">
        <f t="shared" si="21"/>
        <v>0.82235813936574331</v>
      </c>
      <c r="CD18" s="501">
        <f t="shared" si="30"/>
        <v>0.81179130097036467</v>
      </c>
      <c r="CE18" s="501">
        <f t="shared" si="38"/>
        <v>0.80122446257498603</v>
      </c>
      <c r="CF18" s="501">
        <f t="shared" si="47"/>
        <v>0.79065762417960728</v>
      </c>
      <c r="CG18" s="501">
        <f t="shared" si="57"/>
        <v>0.78009078578422864</v>
      </c>
      <c r="CH18" s="501">
        <f t="shared" ref="CH18:CH47" si="68">AN18*BJ18*BK18</f>
        <v>0.7695239473888501</v>
      </c>
      <c r="CI18" s="501"/>
      <c r="CJ18" s="501"/>
      <c r="CK18" s="502"/>
      <c r="CM18" s="500">
        <f t="shared" si="3"/>
        <v>0.89777951396032107</v>
      </c>
      <c r="CN18" s="501">
        <f t="shared" si="7"/>
        <v>0.88582431299818976</v>
      </c>
      <c r="CO18" s="501">
        <f t="shared" si="13"/>
        <v>0.87386911203605855</v>
      </c>
      <c r="CP18" s="501">
        <f t="shared" si="17"/>
        <v>0.86191391107392734</v>
      </c>
      <c r="CQ18" s="501">
        <f t="shared" si="22"/>
        <v>0.84995871011179613</v>
      </c>
      <c r="CR18" s="501">
        <f t="shared" si="31"/>
        <v>0.83800350914966493</v>
      </c>
      <c r="CS18" s="501">
        <f t="shared" si="39"/>
        <v>0.82604830818753361</v>
      </c>
      <c r="CT18" s="501">
        <f t="shared" si="48"/>
        <v>0.81409310722540229</v>
      </c>
      <c r="CU18" s="501">
        <f t="shared" si="58"/>
        <v>0.80213790626327108</v>
      </c>
      <c r="CV18" s="501">
        <f t="shared" ref="CV18:CV47" si="69">BA18*$BJ17*$BK17</f>
        <v>0.79018270530113988</v>
      </c>
      <c r="CW18" s="501"/>
      <c r="CX18" s="501"/>
      <c r="CY18" s="502"/>
    </row>
    <row r="19" spans="1:103" ht="14.4" x14ac:dyDescent="0.3">
      <c r="A19" s="335"/>
      <c r="B19" s="302" t="str">
        <f t="shared" si="4"/>
        <v>BorderNational Primary</v>
      </c>
      <c r="C19" s="312" t="s">
        <v>188</v>
      </c>
      <c r="D19" s="304" t="s">
        <v>210</v>
      </c>
      <c r="E19" s="360">
        <v>1.00891372</v>
      </c>
      <c r="F19" s="361">
        <v>1.0005484200000001</v>
      </c>
      <c r="G19" s="775">
        <v>1</v>
      </c>
      <c r="H19" s="776">
        <v>1.01204424</v>
      </c>
      <c r="I19" s="777">
        <v>1.0037844599999999</v>
      </c>
      <c r="J19" s="775">
        <v>1</v>
      </c>
      <c r="K19" s="776">
        <v>1.0130138399999999</v>
      </c>
      <c r="L19" s="777">
        <v>1.0052327999999999</v>
      </c>
      <c r="M19" s="779">
        <v>1</v>
      </c>
      <c r="N19" s="367"/>
      <c r="O19" s="335"/>
      <c r="P19" s="313">
        <v>2023</v>
      </c>
      <c r="Q19" s="314">
        <v>11</v>
      </c>
      <c r="R19" s="310">
        <f t="shared" si="8"/>
        <v>1.1055893299999995</v>
      </c>
      <c r="S19" s="307">
        <f t="shared" si="8"/>
        <v>1.0959902999999995</v>
      </c>
      <c r="T19" s="307">
        <f t="shared" si="23"/>
        <v>1.0863912699999996</v>
      </c>
      <c r="U19" s="307">
        <f t="shared" si="24"/>
        <v>1.0767922399999996</v>
      </c>
      <c r="V19" s="307">
        <f t="shared" si="25"/>
        <v>1.0671932099999997</v>
      </c>
      <c r="W19" s="307">
        <f t="shared" si="32"/>
        <v>1.0575941799999997</v>
      </c>
      <c r="X19" s="307">
        <f t="shared" si="40"/>
        <v>1.0479951499999998</v>
      </c>
      <c r="Y19" s="307">
        <f t="shared" si="49"/>
        <v>1.0383961199999998</v>
      </c>
      <c r="Z19" s="307">
        <f t="shared" si="59"/>
        <v>1.0287970899999999</v>
      </c>
      <c r="AA19" s="307">
        <f t="shared" ref="AA19:AA25" si="70">$E$8+(AA18-1)</f>
        <v>1.0191980599999999</v>
      </c>
      <c r="AB19" s="315">
        <f>E8</f>
        <v>1.00959903</v>
      </c>
      <c r="AC19" s="308"/>
      <c r="AD19" s="309"/>
      <c r="AE19" s="310">
        <f t="shared" si="9"/>
        <v>1.1531512399999999</v>
      </c>
      <c r="AF19" s="315">
        <f t="shared" si="9"/>
        <v>1.1392283999999999</v>
      </c>
      <c r="AG19" s="315">
        <f t="shared" si="9"/>
        <v>1.1253055599999999</v>
      </c>
      <c r="AH19" s="315">
        <f t="shared" si="9"/>
        <v>1.1113827199999999</v>
      </c>
      <c r="AI19" s="315">
        <f t="shared" si="9"/>
        <v>1.0974598799999999</v>
      </c>
      <c r="AJ19" s="315">
        <f t="shared" si="9"/>
        <v>1.08353704</v>
      </c>
      <c r="AK19" s="315">
        <f t="shared" si="9"/>
        <v>1.0696142</v>
      </c>
      <c r="AL19" s="315">
        <f t="shared" si="9"/>
        <v>1.05569136</v>
      </c>
      <c r="AM19" s="315">
        <f t="shared" si="9"/>
        <v>1.04176852</v>
      </c>
      <c r="AN19" s="315">
        <f t="shared" si="9"/>
        <v>1.02784568</v>
      </c>
      <c r="AO19" s="315">
        <f>H8</f>
        <v>1.01392284</v>
      </c>
      <c r="AP19" s="308"/>
      <c r="AQ19" s="311"/>
      <c r="AR19" s="310">
        <f t="shared" si="10"/>
        <v>1.1689829899999999</v>
      </c>
      <c r="AS19" s="307">
        <f t="shared" si="10"/>
        <v>1.1536208999999999</v>
      </c>
      <c r="AT19" s="307">
        <f t="shared" ref="AT19" si="71">$K$8+(AT18-1)</f>
        <v>1.13825881</v>
      </c>
      <c r="AU19" s="307">
        <f t="shared" ref="AU19" si="72">$K$8+(AU18-1)</f>
        <v>1.12289672</v>
      </c>
      <c r="AV19" s="307">
        <f t="shared" ref="AV19" si="73">$K$8+(AV18-1)</f>
        <v>1.10753463</v>
      </c>
      <c r="AW19" s="307">
        <f t="shared" ref="AW19" si="74">$K$8+(AW18-1)</f>
        <v>1.09217254</v>
      </c>
      <c r="AX19" s="307">
        <f t="shared" ref="AX19" si="75">$K$8+(AX18-1)</f>
        <v>1.07681045</v>
      </c>
      <c r="AY19" s="307">
        <f t="shared" ref="AY19" si="76">$K$8+(AY18-1)</f>
        <v>1.06144836</v>
      </c>
      <c r="AZ19" s="307">
        <f t="shared" ref="AZ19" si="77">$K$8+(AZ18-1)</f>
        <v>1.04608627</v>
      </c>
      <c r="BA19" s="307">
        <f t="shared" ref="BA19" si="78">$K$8+(BA18-1)</f>
        <v>1.03072418</v>
      </c>
      <c r="BB19" s="315">
        <f>K8</f>
        <v>1.01536209</v>
      </c>
      <c r="BC19" s="308"/>
      <c r="BD19" s="311"/>
      <c r="BE19" s="335"/>
      <c r="BF19" s="288"/>
      <c r="BG19" s="535"/>
      <c r="BH19" s="373">
        <v>2023</v>
      </c>
      <c r="BI19" s="374">
        <v>13</v>
      </c>
      <c r="BJ19" s="433">
        <f t="shared" si="0"/>
        <v>1.3292279957849158</v>
      </c>
      <c r="BK19" s="435">
        <f t="shared" si="14"/>
        <v>0.5568374181775595</v>
      </c>
      <c r="BL19" s="500">
        <f t="shared" si="1"/>
        <v>0.83909488163082857</v>
      </c>
      <c r="BM19" s="500">
        <f t="shared" si="5"/>
        <v>0.83180962957288707</v>
      </c>
      <c r="BN19" s="501">
        <f t="shared" si="11"/>
        <v>0.82452437751494545</v>
      </c>
      <c r="BO19" s="520">
        <f t="shared" si="15"/>
        <v>0.81723912545700383</v>
      </c>
      <c r="BP19" s="520">
        <f t="shared" si="20"/>
        <v>0.80995387339906233</v>
      </c>
      <c r="BQ19" s="520">
        <f t="shared" si="29"/>
        <v>0.80266862134112071</v>
      </c>
      <c r="BR19" s="520">
        <f t="shared" si="37"/>
        <v>0.79538336928317921</v>
      </c>
      <c r="BS19" s="520">
        <f t="shared" si="46"/>
        <v>0.78809811722523759</v>
      </c>
      <c r="BT19" s="520">
        <f t="shared" si="56"/>
        <v>0.78081286516729609</v>
      </c>
      <c r="BU19" s="520">
        <f t="shared" si="67"/>
        <v>0.77352761310935447</v>
      </c>
      <c r="BV19" s="520">
        <f t="shared" ref="BV19:BV48" si="79">AB19*$BJ18*$BK18</f>
        <v>0.76624236105141297</v>
      </c>
      <c r="BW19" s="501"/>
      <c r="BX19" s="502"/>
      <c r="BY19" s="500">
        <f t="shared" si="2"/>
        <v>0.87519233134263663</v>
      </c>
      <c r="BZ19" s="501">
        <f t="shared" si="6"/>
        <v>0.84321571883618296</v>
      </c>
      <c r="CA19" s="501">
        <f t="shared" si="12"/>
        <v>0.83291053548678506</v>
      </c>
      <c r="CB19" s="501">
        <f t="shared" si="16"/>
        <v>0.82260535213738728</v>
      </c>
      <c r="CC19" s="501">
        <f t="shared" si="21"/>
        <v>0.81230016878798939</v>
      </c>
      <c r="CD19" s="501">
        <f t="shared" si="30"/>
        <v>0.8019949854385916</v>
      </c>
      <c r="CE19" s="501">
        <f t="shared" si="38"/>
        <v>0.79168980208919371</v>
      </c>
      <c r="CF19" s="501">
        <f t="shared" si="47"/>
        <v>0.78138461873979592</v>
      </c>
      <c r="CG19" s="501">
        <f t="shared" si="57"/>
        <v>0.77107943539039792</v>
      </c>
      <c r="CH19" s="501">
        <f t="shared" si="68"/>
        <v>0.76077425204100013</v>
      </c>
      <c r="CI19" s="501">
        <f t="shared" ref="CI19:CI48" si="80">AO19*BJ19*BK19</f>
        <v>0.75046906869160224</v>
      </c>
      <c r="CJ19" s="501"/>
      <c r="CK19" s="502"/>
      <c r="CM19" s="500">
        <f t="shared" si="3"/>
        <v>0.88720795055294399</v>
      </c>
      <c r="CN19" s="501">
        <f t="shared" si="7"/>
        <v>0.87554878313844642</v>
      </c>
      <c r="CO19" s="501">
        <f t="shared" si="13"/>
        <v>0.86388961572394907</v>
      </c>
      <c r="CP19" s="501">
        <f t="shared" si="17"/>
        <v>0.85223044830945149</v>
      </c>
      <c r="CQ19" s="501">
        <f t="shared" si="22"/>
        <v>0.84057128089495392</v>
      </c>
      <c r="CR19" s="501">
        <f t="shared" si="31"/>
        <v>0.82891211348045635</v>
      </c>
      <c r="CS19" s="501">
        <f t="shared" si="39"/>
        <v>0.817252946065959</v>
      </c>
      <c r="CT19" s="501">
        <f t="shared" si="48"/>
        <v>0.80559377865146142</v>
      </c>
      <c r="CU19" s="501">
        <f t="shared" si="58"/>
        <v>0.79393461123696385</v>
      </c>
      <c r="CV19" s="501">
        <f t="shared" si="69"/>
        <v>0.78227544382246628</v>
      </c>
      <c r="CW19" s="501">
        <f t="shared" ref="CW19:CW48" si="81">BB19*$BJ18*$BK18</f>
        <v>0.77061627640796893</v>
      </c>
      <c r="CX19" s="501"/>
      <c r="CY19" s="502"/>
    </row>
    <row r="20" spans="1:103" ht="14.4" x14ac:dyDescent="0.3">
      <c r="A20" s="335"/>
      <c r="B20" s="302" t="str">
        <f t="shared" si="4"/>
        <v>BorderNational Secondary</v>
      </c>
      <c r="C20" s="312" t="s">
        <v>188</v>
      </c>
      <c r="D20" s="304" t="s">
        <v>211</v>
      </c>
      <c r="E20" s="362">
        <v>1.00891372</v>
      </c>
      <c r="F20" s="363">
        <v>1.0005204200000002</v>
      </c>
      <c r="G20" s="775">
        <v>1</v>
      </c>
      <c r="H20" s="776">
        <v>1.0120196400000001</v>
      </c>
      <c r="I20" s="777">
        <v>1.0037552599999999</v>
      </c>
      <c r="J20" s="775">
        <v>1</v>
      </c>
      <c r="K20" s="776">
        <v>1.0129902399999999</v>
      </c>
      <c r="L20" s="777">
        <v>1.0052020000000002</v>
      </c>
      <c r="M20" s="779">
        <v>1</v>
      </c>
      <c r="N20" s="367"/>
      <c r="O20" s="335"/>
      <c r="P20" s="313">
        <v>2024</v>
      </c>
      <c r="Q20" s="314">
        <v>12</v>
      </c>
      <c r="R20" s="310">
        <f t="shared" si="8"/>
        <v>1.1151883599999994</v>
      </c>
      <c r="S20" s="307">
        <f t="shared" si="8"/>
        <v>1.1055893299999995</v>
      </c>
      <c r="T20" s="307">
        <f t="shared" si="23"/>
        <v>1.0959902999999995</v>
      </c>
      <c r="U20" s="307">
        <f t="shared" si="24"/>
        <v>1.0863912699999996</v>
      </c>
      <c r="V20" s="307">
        <f t="shared" si="25"/>
        <v>1.0767922399999996</v>
      </c>
      <c r="W20" s="307">
        <f t="shared" si="32"/>
        <v>1.0671932099999997</v>
      </c>
      <c r="X20" s="307">
        <f t="shared" si="40"/>
        <v>1.0575941799999997</v>
      </c>
      <c r="Y20" s="307">
        <f t="shared" si="49"/>
        <v>1.0479951499999998</v>
      </c>
      <c r="Z20" s="307">
        <f t="shared" si="59"/>
        <v>1.0383961199999998</v>
      </c>
      <c r="AA20" s="307">
        <f t="shared" si="70"/>
        <v>1.0287970899999999</v>
      </c>
      <c r="AB20" s="307">
        <f t="shared" ref="AB20:AB25" si="82">$E$8+(AB19-1)</f>
        <v>1.0191980599999999</v>
      </c>
      <c r="AC20" s="315">
        <f>E8</f>
        <v>1.00959903</v>
      </c>
      <c r="AD20" s="309"/>
      <c r="AE20" s="310">
        <f t="shared" si="9"/>
        <v>1.1670740799999999</v>
      </c>
      <c r="AF20" s="315">
        <f t="shared" si="9"/>
        <v>1.1531512399999999</v>
      </c>
      <c r="AG20" s="315">
        <f t="shared" si="9"/>
        <v>1.1392283999999999</v>
      </c>
      <c r="AH20" s="315">
        <f t="shared" si="9"/>
        <v>1.1253055599999999</v>
      </c>
      <c r="AI20" s="315">
        <f t="shared" si="9"/>
        <v>1.1113827199999999</v>
      </c>
      <c r="AJ20" s="315">
        <f t="shared" si="9"/>
        <v>1.0974598799999999</v>
      </c>
      <c r="AK20" s="315">
        <f t="shared" si="9"/>
        <v>1.08353704</v>
      </c>
      <c r="AL20" s="315">
        <f t="shared" si="9"/>
        <v>1.0696142</v>
      </c>
      <c r="AM20" s="315">
        <f t="shared" si="9"/>
        <v>1.05569136</v>
      </c>
      <c r="AN20" s="315">
        <f t="shared" si="9"/>
        <v>1.04176852</v>
      </c>
      <c r="AO20" s="315">
        <f t="shared" si="9"/>
        <v>1.02784568</v>
      </c>
      <c r="AP20" s="315">
        <f>H8</f>
        <v>1.01392284</v>
      </c>
      <c r="AQ20" s="311"/>
      <c r="AR20" s="310">
        <f t="shared" si="10"/>
        <v>1.1843450799999999</v>
      </c>
      <c r="AS20" s="307">
        <f t="shared" si="10"/>
        <v>1.1689829899999999</v>
      </c>
      <c r="AT20" s="307">
        <f t="shared" ref="AT20" si="83">$K$8+(AT19-1)</f>
        <v>1.1536208999999999</v>
      </c>
      <c r="AU20" s="307">
        <f t="shared" ref="AU20" si="84">$K$8+(AU19-1)</f>
        <v>1.13825881</v>
      </c>
      <c r="AV20" s="307">
        <f t="shared" ref="AV20" si="85">$K$8+(AV19-1)</f>
        <v>1.12289672</v>
      </c>
      <c r="AW20" s="307">
        <f t="shared" ref="AW20" si="86">$K$8+(AW19-1)</f>
        <v>1.10753463</v>
      </c>
      <c r="AX20" s="307">
        <f t="shared" ref="AX20" si="87">$K$8+(AX19-1)</f>
        <v>1.09217254</v>
      </c>
      <c r="AY20" s="307">
        <f t="shared" ref="AY20" si="88">$K$8+(AY19-1)</f>
        <v>1.07681045</v>
      </c>
      <c r="AZ20" s="307">
        <f t="shared" ref="AZ20" si="89">$K$8+(AZ19-1)</f>
        <v>1.06144836</v>
      </c>
      <c r="BA20" s="307">
        <f t="shared" ref="BA20" si="90">$K$8+(BA19-1)</f>
        <v>1.04608627</v>
      </c>
      <c r="BB20" s="307">
        <f t="shared" ref="BB20" si="91">$K$8+(BB19-1)</f>
        <v>1.03072418</v>
      </c>
      <c r="BC20" s="315">
        <f>K8</f>
        <v>1.01536209</v>
      </c>
      <c r="BD20" s="311"/>
      <c r="BE20" s="335"/>
      <c r="BF20" s="288"/>
      <c r="BG20" s="535"/>
      <c r="BH20" s="373">
        <v>2024</v>
      </c>
      <c r="BI20" s="374">
        <v>14</v>
      </c>
      <c r="BJ20" s="433">
        <f t="shared" si="0"/>
        <v>1.3611294676837538</v>
      </c>
      <c r="BK20" s="435">
        <f t="shared" si="14"/>
        <v>0.53032135064529462</v>
      </c>
      <c r="BL20" s="500">
        <f t="shared" si="1"/>
        <v>0.82542214942600067</v>
      </c>
      <c r="BM20" s="500">
        <f t="shared" si="5"/>
        <v>0.81831729408568432</v>
      </c>
      <c r="BN20" s="501">
        <f t="shared" si="11"/>
        <v>0.81121243874536786</v>
      </c>
      <c r="BO20" s="520">
        <f t="shared" si="15"/>
        <v>0.80410758340505151</v>
      </c>
      <c r="BP20" s="520">
        <f t="shared" si="20"/>
        <v>0.79700272806473527</v>
      </c>
      <c r="BQ20" s="520">
        <f t="shared" si="29"/>
        <v>0.78989787272441891</v>
      </c>
      <c r="BR20" s="520">
        <f t="shared" si="37"/>
        <v>0.78279301738410245</v>
      </c>
      <c r="BS20" s="520">
        <f t="shared" si="46"/>
        <v>0.7756881620437861</v>
      </c>
      <c r="BT20" s="520">
        <f t="shared" si="56"/>
        <v>0.76858330670346986</v>
      </c>
      <c r="BU20" s="520">
        <f t="shared" si="67"/>
        <v>0.76147845136315351</v>
      </c>
      <c r="BV20" s="520">
        <f t="shared" si="79"/>
        <v>0.75437359602283705</v>
      </c>
      <c r="BW20" s="520">
        <f t="shared" ref="BW20:BW49" si="92">AC20*$BJ19*$BK19</f>
        <v>0.7472687406825208</v>
      </c>
      <c r="BX20" s="502"/>
      <c r="BY20" s="500">
        <f t="shared" si="2"/>
        <v>0.86382608553497875</v>
      </c>
      <c r="BZ20" s="501">
        <f t="shared" si="6"/>
        <v>0.83238609889336623</v>
      </c>
      <c r="CA20" s="501">
        <f t="shared" si="12"/>
        <v>0.8223360915126201</v>
      </c>
      <c r="CB20" s="501">
        <f t="shared" si="16"/>
        <v>0.81228608413187409</v>
      </c>
      <c r="CC20" s="501">
        <f t="shared" si="21"/>
        <v>0.80223607675112796</v>
      </c>
      <c r="CD20" s="501">
        <f t="shared" si="30"/>
        <v>0.79218606937038183</v>
      </c>
      <c r="CE20" s="501">
        <f t="shared" si="38"/>
        <v>0.7821360619896357</v>
      </c>
      <c r="CF20" s="501">
        <f t="shared" si="47"/>
        <v>0.77208605460888957</v>
      </c>
      <c r="CG20" s="501">
        <f t="shared" si="57"/>
        <v>0.76203604722814355</v>
      </c>
      <c r="CH20" s="501">
        <f t="shared" si="68"/>
        <v>0.75198603984739754</v>
      </c>
      <c r="CI20" s="501">
        <f t="shared" si="80"/>
        <v>0.74193603246665141</v>
      </c>
      <c r="CJ20" s="501">
        <f t="shared" ref="CJ20:CJ49" si="93">AP20*BJ20*BK20</f>
        <v>0.73188602508590528</v>
      </c>
      <c r="CK20" s="502"/>
      <c r="CM20" s="500">
        <f t="shared" si="3"/>
        <v>0.87660945599872397</v>
      </c>
      <c r="CN20" s="501">
        <f t="shared" si="7"/>
        <v>0.86523899177734731</v>
      </c>
      <c r="CO20" s="501">
        <f t="shared" si="13"/>
        <v>0.85386852755597065</v>
      </c>
      <c r="CP20" s="501">
        <f t="shared" si="17"/>
        <v>0.84249806333459398</v>
      </c>
      <c r="CQ20" s="501">
        <f t="shared" si="22"/>
        <v>0.83112759911321743</v>
      </c>
      <c r="CR20" s="501">
        <f t="shared" si="31"/>
        <v>0.81975713489184077</v>
      </c>
      <c r="CS20" s="501">
        <f t="shared" si="39"/>
        <v>0.8083866706704641</v>
      </c>
      <c r="CT20" s="501">
        <f t="shared" si="48"/>
        <v>0.79701620644908755</v>
      </c>
      <c r="CU20" s="501">
        <f t="shared" si="58"/>
        <v>0.785645742227711</v>
      </c>
      <c r="CV20" s="501">
        <f t="shared" si="69"/>
        <v>0.77427527800633433</v>
      </c>
      <c r="CW20" s="501">
        <f t="shared" si="81"/>
        <v>0.76290481378495767</v>
      </c>
      <c r="CX20" s="501">
        <f t="shared" ref="CX20:CX49" si="94">BC20*$BJ19*$BK19</f>
        <v>0.75153434956358112</v>
      </c>
      <c r="CY20" s="502"/>
    </row>
    <row r="21" spans="1:103" ht="14.4" x14ac:dyDescent="0.3">
      <c r="A21" s="335"/>
      <c r="B21" s="302" t="str">
        <f t="shared" si="4"/>
        <v>Mid-WestMotorway</v>
      </c>
      <c r="C21" s="318" t="s">
        <v>190</v>
      </c>
      <c r="D21" s="319" t="s">
        <v>28</v>
      </c>
      <c r="E21" s="360">
        <v>1.0098160899999999</v>
      </c>
      <c r="F21" s="361">
        <v>0.99957293999999997</v>
      </c>
      <c r="G21" s="784">
        <v>1</v>
      </c>
      <c r="H21" s="785">
        <v>1.0129793899999999</v>
      </c>
      <c r="I21" s="786">
        <v>1.0033801599999999</v>
      </c>
      <c r="J21" s="784">
        <v>1</v>
      </c>
      <c r="K21" s="785">
        <v>1.01403102</v>
      </c>
      <c r="L21" s="786">
        <v>1.00521722</v>
      </c>
      <c r="M21" s="787">
        <v>1</v>
      </c>
      <c r="N21" s="367"/>
      <c r="O21" s="335"/>
      <c r="P21" s="313">
        <v>2025</v>
      </c>
      <c r="Q21" s="314">
        <v>13</v>
      </c>
      <c r="R21" s="310">
        <f t="shared" si="8"/>
        <v>1.1247873899999994</v>
      </c>
      <c r="S21" s="307">
        <f t="shared" si="8"/>
        <v>1.1151883599999994</v>
      </c>
      <c r="T21" s="307">
        <f t="shared" si="23"/>
        <v>1.1055893299999995</v>
      </c>
      <c r="U21" s="307">
        <f t="shared" si="24"/>
        <v>1.0959902999999995</v>
      </c>
      <c r="V21" s="307">
        <f t="shared" si="25"/>
        <v>1.0863912699999996</v>
      </c>
      <c r="W21" s="307">
        <f t="shared" si="32"/>
        <v>1.0767922399999996</v>
      </c>
      <c r="X21" s="307">
        <f t="shared" si="40"/>
        <v>1.0671932099999997</v>
      </c>
      <c r="Y21" s="307">
        <f t="shared" si="49"/>
        <v>1.0575941799999997</v>
      </c>
      <c r="Z21" s="307">
        <f t="shared" si="59"/>
        <v>1.0479951499999998</v>
      </c>
      <c r="AA21" s="307">
        <f t="shared" si="70"/>
        <v>1.0383961199999998</v>
      </c>
      <c r="AB21" s="307">
        <f t="shared" si="82"/>
        <v>1.0287970899999999</v>
      </c>
      <c r="AC21" s="307">
        <f t="shared" ref="AC21:AC25" si="95">$E$8+(AC20-1)</f>
        <v>1.0191980599999999</v>
      </c>
      <c r="AD21" s="320">
        <f>E8</f>
        <v>1.00959903</v>
      </c>
      <c r="AE21" s="310">
        <f t="shared" si="9"/>
        <v>1.1809969199999999</v>
      </c>
      <c r="AF21" s="315">
        <f t="shared" si="9"/>
        <v>1.1670740799999999</v>
      </c>
      <c r="AG21" s="315">
        <f t="shared" si="9"/>
        <v>1.1531512399999999</v>
      </c>
      <c r="AH21" s="315">
        <f t="shared" si="9"/>
        <v>1.1392283999999999</v>
      </c>
      <c r="AI21" s="315">
        <f t="shared" si="9"/>
        <v>1.1253055599999999</v>
      </c>
      <c r="AJ21" s="315">
        <f t="shared" si="9"/>
        <v>1.1113827199999999</v>
      </c>
      <c r="AK21" s="315">
        <f t="shared" si="9"/>
        <v>1.0974598799999999</v>
      </c>
      <c r="AL21" s="315">
        <f t="shared" si="9"/>
        <v>1.08353704</v>
      </c>
      <c r="AM21" s="315">
        <f t="shared" si="9"/>
        <v>1.0696142</v>
      </c>
      <c r="AN21" s="315">
        <f t="shared" si="9"/>
        <v>1.05569136</v>
      </c>
      <c r="AO21" s="315">
        <f t="shared" si="9"/>
        <v>1.04176852</v>
      </c>
      <c r="AP21" s="315">
        <f t="shared" si="9"/>
        <v>1.02784568</v>
      </c>
      <c r="AQ21" s="321">
        <f>H8</f>
        <v>1.01392284</v>
      </c>
      <c r="AR21" s="310">
        <f t="shared" si="10"/>
        <v>1.1997071699999999</v>
      </c>
      <c r="AS21" s="307">
        <f t="shared" si="10"/>
        <v>1.1843450799999999</v>
      </c>
      <c r="AT21" s="307">
        <f t="shared" ref="AT21" si="96">$K$8+(AT20-1)</f>
        <v>1.1689829899999999</v>
      </c>
      <c r="AU21" s="307">
        <f t="shared" ref="AU21" si="97">$K$8+(AU20-1)</f>
        <v>1.1536208999999999</v>
      </c>
      <c r="AV21" s="307">
        <f t="shared" ref="AV21" si="98">$K$8+(AV20-1)</f>
        <v>1.13825881</v>
      </c>
      <c r="AW21" s="307">
        <f t="shared" ref="AW21" si="99">$K$8+(AW20-1)</f>
        <v>1.12289672</v>
      </c>
      <c r="AX21" s="307">
        <f t="shared" ref="AX21" si="100">$K$8+(AX20-1)</f>
        <v>1.10753463</v>
      </c>
      <c r="AY21" s="307">
        <f t="shared" ref="AY21" si="101">$K$8+(AY20-1)</f>
        <v>1.09217254</v>
      </c>
      <c r="AZ21" s="307">
        <f t="shared" ref="AZ21" si="102">$K$8+(AZ20-1)</f>
        <v>1.07681045</v>
      </c>
      <c r="BA21" s="307">
        <f t="shared" ref="BA21" si="103">$K$8+(BA20-1)</f>
        <v>1.06144836</v>
      </c>
      <c r="BB21" s="307">
        <f t="shared" ref="BB21" si="104">$K$8+(BB20-1)</f>
        <v>1.04608627</v>
      </c>
      <c r="BC21" s="307">
        <f t="shared" ref="BC21" si="105">$K$8+(BC20-1)</f>
        <v>1.03072418</v>
      </c>
      <c r="BD21" s="321">
        <f>K8</f>
        <v>1.01536209</v>
      </c>
      <c r="BE21" s="335"/>
      <c r="BF21" s="288"/>
      <c r="BG21" s="535"/>
      <c r="BH21" s="373">
        <v>2025</v>
      </c>
      <c r="BI21" s="374">
        <v>15</v>
      </c>
      <c r="BJ21" s="433">
        <f t="shared" si="0"/>
        <v>1.3937965749081638</v>
      </c>
      <c r="BK21" s="435">
        <f t="shared" si="14"/>
        <v>0.50506795299551888</v>
      </c>
      <c r="BL21" s="500">
        <f t="shared" si="1"/>
        <v>0.81191205036257941</v>
      </c>
      <c r="BM21" s="500">
        <f t="shared" si="5"/>
        <v>0.80498312477354694</v>
      </c>
      <c r="BN21" s="501">
        <f t="shared" si="11"/>
        <v>0.7980541991845147</v>
      </c>
      <c r="BO21" s="520">
        <f t="shared" si="15"/>
        <v>0.79112527359548246</v>
      </c>
      <c r="BP21" s="520">
        <f t="shared" si="20"/>
        <v>0.78419634800645011</v>
      </c>
      <c r="BQ21" s="520">
        <f t="shared" si="29"/>
        <v>0.77726742241741775</v>
      </c>
      <c r="BR21" s="520">
        <f t="shared" si="37"/>
        <v>0.7703384968283854</v>
      </c>
      <c r="BS21" s="520">
        <f t="shared" si="46"/>
        <v>0.76340957123935316</v>
      </c>
      <c r="BT21" s="520">
        <f t="shared" si="56"/>
        <v>0.75648064565032069</v>
      </c>
      <c r="BU21" s="520">
        <f t="shared" si="67"/>
        <v>0.74955172006128845</v>
      </c>
      <c r="BV21" s="520">
        <f t="shared" si="79"/>
        <v>0.74262279447225621</v>
      </c>
      <c r="BW21" s="520">
        <f t="shared" si="92"/>
        <v>0.73569386888322386</v>
      </c>
      <c r="BX21" s="520">
        <f t="shared" ref="BX21:BX50" si="106">AD21*$BJ20*$BK20</f>
        <v>0.7287649432941915</v>
      </c>
      <c r="BY21" s="500">
        <f t="shared" si="2"/>
        <v>0.85248611365485838</v>
      </c>
      <c r="BZ21" s="501">
        <f t="shared" si="6"/>
        <v>0.82157578364256312</v>
      </c>
      <c r="CA21" s="501">
        <f t="shared" si="12"/>
        <v>0.81177463358743551</v>
      </c>
      <c r="CB21" s="501">
        <f t="shared" si="16"/>
        <v>0.8019734835323078</v>
      </c>
      <c r="CC21" s="501">
        <f t="shared" si="21"/>
        <v>0.79217233347718019</v>
      </c>
      <c r="CD21" s="501">
        <f t="shared" si="30"/>
        <v>0.78237118342205259</v>
      </c>
      <c r="CE21" s="501">
        <f t="shared" si="38"/>
        <v>0.77257003336692498</v>
      </c>
      <c r="CF21" s="501">
        <f t="shared" si="47"/>
        <v>0.76276888331179737</v>
      </c>
      <c r="CG21" s="501">
        <f t="shared" si="57"/>
        <v>0.75296773325666977</v>
      </c>
      <c r="CH21" s="501">
        <f t="shared" si="68"/>
        <v>0.74316658320154216</v>
      </c>
      <c r="CI21" s="501">
        <f t="shared" si="80"/>
        <v>0.73336543314641456</v>
      </c>
      <c r="CJ21" s="501">
        <f t="shared" si="93"/>
        <v>0.72356428309128695</v>
      </c>
      <c r="CK21" s="502">
        <f t="shared" ref="CK21:CK50" si="107">AQ21*BJ21*BK21</f>
        <v>0.71376313303615924</v>
      </c>
      <c r="CM21" s="500">
        <f t="shared" si="3"/>
        <v>0.86599184600512646</v>
      </c>
      <c r="CN21" s="501">
        <f t="shared" si="7"/>
        <v>0.85490293613589818</v>
      </c>
      <c r="CO21" s="501">
        <f t="shared" si="13"/>
        <v>0.8438140262666699</v>
      </c>
      <c r="CP21" s="501">
        <f t="shared" si="17"/>
        <v>0.83272511639744162</v>
      </c>
      <c r="CQ21" s="501">
        <f t="shared" si="22"/>
        <v>0.82163620652821334</v>
      </c>
      <c r="CR21" s="501">
        <f t="shared" si="31"/>
        <v>0.81054729665898506</v>
      </c>
      <c r="CS21" s="501">
        <f t="shared" si="39"/>
        <v>0.79945838678975689</v>
      </c>
      <c r="CT21" s="501">
        <f t="shared" si="48"/>
        <v>0.78836947692052872</v>
      </c>
      <c r="CU21" s="501">
        <f t="shared" si="58"/>
        <v>0.77728056705130044</v>
      </c>
      <c r="CV21" s="501">
        <f t="shared" si="69"/>
        <v>0.76619165718207216</v>
      </c>
      <c r="CW21" s="501">
        <f t="shared" si="81"/>
        <v>0.75510274731284388</v>
      </c>
      <c r="CX21" s="501">
        <f t="shared" si="94"/>
        <v>0.74401383744361571</v>
      </c>
      <c r="CY21" s="502">
        <f t="shared" ref="CY21:CY50" si="108">BD21*$BJ20*$BK20</f>
        <v>0.73292492757438743</v>
      </c>
    </row>
    <row r="22" spans="1:103" ht="14.4" x14ac:dyDescent="0.3">
      <c r="A22" s="335"/>
      <c r="B22" s="302" t="str">
        <f t="shared" si="4"/>
        <v>Mid-WestNational Primary</v>
      </c>
      <c r="C22" s="312" t="s">
        <v>190</v>
      </c>
      <c r="D22" s="304" t="s">
        <v>210</v>
      </c>
      <c r="E22" s="360">
        <v>1.0074386399999999</v>
      </c>
      <c r="F22" s="361">
        <v>0.99716693999999995</v>
      </c>
      <c r="G22" s="775">
        <v>1</v>
      </c>
      <c r="H22" s="776">
        <v>1.01063529</v>
      </c>
      <c r="I22" s="777">
        <v>1.0009665599999999</v>
      </c>
      <c r="J22" s="775">
        <v>1</v>
      </c>
      <c r="K22" s="776">
        <v>1.0116988199999999</v>
      </c>
      <c r="L22" s="777">
        <v>1.0027906200000001</v>
      </c>
      <c r="M22" s="779">
        <v>1</v>
      </c>
      <c r="N22" s="367"/>
      <c r="O22" s="335"/>
      <c r="P22" s="313">
        <v>2026</v>
      </c>
      <c r="Q22" s="314">
        <v>14</v>
      </c>
      <c r="R22" s="310">
        <f t="shared" si="8"/>
        <v>1.1343864199999993</v>
      </c>
      <c r="S22" s="307">
        <f t="shared" si="8"/>
        <v>1.1247873899999994</v>
      </c>
      <c r="T22" s="307">
        <f t="shared" si="23"/>
        <v>1.1151883599999994</v>
      </c>
      <c r="U22" s="307">
        <f t="shared" si="24"/>
        <v>1.1055893299999995</v>
      </c>
      <c r="V22" s="307">
        <f t="shared" si="25"/>
        <v>1.0959902999999995</v>
      </c>
      <c r="W22" s="307">
        <f t="shared" si="32"/>
        <v>1.0863912699999996</v>
      </c>
      <c r="X22" s="307">
        <f t="shared" si="40"/>
        <v>1.0767922399999996</v>
      </c>
      <c r="Y22" s="307">
        <f t="shared" si="49"/>
        <v>1.0671932099999997</v>
      </c>
      <c r="Z22" s="307">
        <f t="shared" si="59"/>
        <v>1.0575941799999997</v>
      </c>
      <c r="AA22" s="307">
        <f t="shared" si="70"/>
        <v>1.0479951499999998</v>
      </c>
      <c r="AB22" s="307">
        <f t="shared" si="82"/>
        <v>1.0383961199999998</v>
      </c>
      <c r="AC22" s="307">
        <f t="shared" si="95"/>
        <v>1.0287970899999999</v>
      </c>
      <c r="AD22" s="307">
        <f t="shared" ref="AD22:AD25" si="109">$E$8+(AD21-1)</f>
        <v>1.0191980599999999</v>
      </c>
      <c r="AE22" s="310">
        <f t="shared" si="9"/>
        <v>1.1949197599999999</v>
      </c>
      <c r="AF22" s="315">
        <f t="shared" si="9"/>
        <v>1.1809969199999999</v>
      </c>
      <c r="AG22" s="315">
        <f t="shared" si="9"/>
        <v>1.1670740799999999</v>
      </c>
      <c r="AH22" s="315">
        <f t="shared" si="9"/>
        <v>1.1531512399999999</v>
      </c>
      <c r="AI22" s="315">
        <f t="shared" si="9"/>
        <v>1.1392283999999999</v>
      </c>
      <c r="AJ22" s="315">
        <f t="shared" si="9"/>
        <v>1.1253055599999999</v>
      </c>
      <c r="AK22" s="315">
        <f t="shared" si="9"/>
        <v>1.1113827199999999</v>
      </c>
      <c r="AL22" s="315">
        <f t="shared" si="9"/>
        <v>1.0974598799999999</v>
      </c>
      <c r="AM22" s="315">
        <f t="shared" si="9"/>
        <v>1.08353704</v>
      </c>
      <c r="AN22" s="315">
        <f t="shared" si="9"/>
        <v>1.0696142</v>
      </c>
      <c r="AO22" s="315">
        <f t="shared" si="9"/>
        <v>1.05569136</v>
      </c>
      <c r="AP22" s="315">
        <f t="shared" si="9"/>
        <v>1.04176852</v>
      </c>
      <c r="AQ22" s="321">
        <f>$H$8+(AQ21-1)</f>
        <v>1.02784568</v>
      </c>
      <c r="AR22" s="310">
        <f t="shared" si="10"/>
        <v>1.2150692599999999</v>
      </c>
      <c r="AS22" s="307">
        <f t="shared" si="10"/>
        <v>1.1997071699999999</v>
      </c>
      <c r="AT22" s="307">
        <f t="shared" ref="AT22" si="110">$K$8+(AT21-1)</f>
        <v>1.1843450799999999</v>
      </c>
      <c r="AU22" s="307">
        <f t="shared" ref="AU22" si="111">$K$8+(AU21-1)</f>
        <v>1.1689829899999999</v>
      </c>
      <c r="AV22" s="307">
        <f t="shared" ref="AV22" si="112">$K$8+(AV21-1)</f>
        <v>1.1536208999999999</v>
      </c>
      <c r="AW22" s="307">
        <f t="shared" ref="AW22" si="113">$K$8+(AW21-1)</f>
        <v>1.13825881</v>
      </c>
      <c r="AX22" s="307">
        <f t="shared" ref="AX22" si="114">$K$8+(AX21-1)</f>
        <v>1.12289672</v>
      </c>
      <c r="AY22" s="307">
        <f t="shared" ref="AY22" si="115">$K$8+(AY21-1)</f>
        <v>1.10753463</v>
      </c>
      <c r="AZ22" s="307">
        <f t="shared" ref="AZ22" si="116">$K$8+(AZ21-1)</f>
        <v>1.09217254</v>
      </c>
      <c r="BA22" s="307">
        <f t="shared" ref="BA22" si="117">$K$8+(BA21-1)</f>
        <v>1.07681045</v>
      </c>
      <c r="BB22" s="307">
        <f t="shared" ref="BB22" si="118">$K$8+(BB21-1)</f>
        <v>1.06144836</v>
      </c>
      <c r="BC22" s="307">
        <f t="shared" ref="BC22" si="119">$K$8+(BC21-1)</f>
        <v>1.04608627</v>
      </c>
      <c r="BD22" s="307">
        <f t="shared" ref="BD22" si="120">$K$8+(BD21-1)</f>
        <v>1.03072418</v>
      </c>
      <c r="BE22" s="335"/>
      <c r="BF22" s="288"/>
      <c r="BG22" s="535"/>
      <c r="BH22" s="373">
        <v>2026</v>
      </c>
      <c r="BI22" s="374">
        <v>16</v>
      </c>
      <c r="BJ22" s="433">
        <f t="shared" si="0"/>
        <v>1.4272476927059599</v>
      </c>
      <c r="BK22" s="435">
        <f t="shared" si="14"/>
        <v>0.48101709809097021</v>
      </c>
      <c r="BL22" s="500">
        <f t="shared" si="1"/>
        <v>0.79856491368995297</v>
      </c>
      <c r="BM22" s="500">
        <f t="shared" si="5"/>
        <v>0.79180756149645859</v>
      </c>
      <c r="BN22" s="501">
        <f t="shared" si="11"/>
        <v>0.78505020930296421</v>
      </c>
      <c r="BO22" s="520">
        <f t="shared" si="15"/>
        <v>0.77829285710946994</v>
      </c>
      <c r="BP22" s="520">
        <f t="shared" si="20"/>
        <v>0.77153550491597545</v>
      </c>
      <c r="BQ22" s="520">
        <f t="shared" si="29"/>
        <v>0.76477815272248117</v>
      </c>
      <c r="BR22" s="520">
        <f t="shared" si="37"/>
        <v>0.75802080052898668</v>
      </c>
      <c r="BS22" s="520">
        <f t="shared" si="46"/>
        <v>0.75126344833549241</v>
      </c>
      <c r="BT22" s="520">
        <f t="shared" si="56"/>
        <v>0.74450609614199792</v>
      </c>
      <c r="BU22" s="520">
        <f t="shared" si="67"/>
        <v>0.73774874394850365</v>
      </c>
      <c r="BV22" s="520">
        <f t="shared" si="79"/>
        <v>0.73099139175500916</v>
      </c>
      <c r="BW22" s="520">
        <f t="shared" si="92"/>
        <v>0.72423403956151489</v>
      </c>
      <c r="BX22" s="520">
        <f t="shared" si="106"/>
        <v>0.71747668736802039</v>
      </c>
      <c r="BY22" s="500">
        <f t="shared" si="2"/>
        <v>0.84117808375281833</v>
      </c>
      <c r="BZ22" s="501">
        <f t="shared" si="6"/>
        <v>0.81079045724422394</v>
      </c>
      <c r="CA22" s="501">
        <f t="shared" si="12"/>
        <v>0.80123200233331859</v>
      </c>
      <c r="CB22" s="501">
        <f t="shared" si="16"/>
        <v>0.79167354742241314</v>
      </c>
      <c r="CC22" s="501">
        <f t="shared" si="21"/>
        <v>0.78211509251150768</v>
      </c>
      <c r="CD22" s="501">
        <f t="shared" si="30"/>
        <v>0.77255663760060234</v>
      </c>
      <c r="CE22" s="501">
        <f t="shared" si="38"/>
        <v>0.76299818268969688</v>
      </c>
      <c r="CF22" s="501">
        <f t="shared" si="47"/>
        <v>0.75343972777879142</v>
      </c>
      <c r="CG22" s="501">
        <f t="shared" si="57"/>
        <v>0.74388127286788608</v>
      </c>
      <c r="CH22" s="501">
        <f t="shared" si="68"/>
        <v>0.73432281795698073</v>
      </c>
      <c r="CI22" s="501">
        <f t="shared" si="80"/>
        <v>0.72476436304607517</v>
      </c>
      <c r="CJ22" s="501">
        <f t="shared" si="93"/>
        <v>0.71520590813516982</v>
      </c>
      <c r="CK22" s="502">
        <f t="shared" si="107"/>
        <v>0.70564745322426448</v>
      </c>
      <c r="CM22" s="500">
        <f t="shared" si="3"/>
        <v>0.85536256572889469</v>
      </c>
      <c r="CN22" s="501">
        <f t="shared" si="7"/>
        <v>0.84454823838976156</v>
      </c>
      <c r="CO22" s="501">
        <f t="shared" si="13"/>
        <v>0.83373391105062855</v>
      </c>
      <c r="CP22" s="501">
        <f t="shared" si="17"/>
        <v>0.82291958371149554</v>
      </c>
      <c r="CQ22" s="501">
        <f t="shared" si="22"/>
        <v>0.81210525637236242</v>
      </c>
      <c r="CR22" s="501">
        <f t="shared" si="31"/>
        <v>0.80129092903322929</v>
      </c>
      <c r="CS22" s="501">
        <f t="shared" si="39"/>
        <v>0.79047660169409628</v>
      </c>
      <c r="CT22" s="501">
        <f t="shared" si="48"/>
        <v>0.77966227435496316</v>
      </c>
      <c r="CU22" s="501">
        <f t="shared" si="58"/>
        <v>0.76884794701583015</v>
      </c>
      <c r="CV22" s="501">
        <f t="shared" si="69"/>
        <v>0.75803361967669702</v>
      </c>
      <c r="CW22" s="501">
        <f t="shared" si="81"/>
        <v>0.7472192923375639</v>
      </c>
      <c r="CX22" s="501">
        <f t="shared" si="94"/>
        <v>0.73640496499843089</v>
      </c>
      <c r="CY22" s="502">
        <f t="shared" si="108"/>
        <v>0.72559063765929788</v>
      </c>
    </row>
    <row r="23" spans="1:103" ht="14.4" x14ac:dyDescent="0.3">
      <c r="A23" s="335"/>
      <c r="B23" s="302" t="str">
        <f t="shared" si="4"/>
        <v>Mid-WestNational Secondary</v>
      </c>
      <c r="C23" s="316" t="s">
        <v>190</v>
      </c>
      <c r="D23" s="317" t="s">
        <v>211</v>
      </c>
      <c r="E23" s="362">
        <v>1.0074076399999998</v>
      </c>
      <c r="F23" s="363">
        <v>0.99713174000000004</v>
      </c>
      <c r="G23" s="780">
        <v>1</v>
      </c>
      <c r="H23" s="781">
        <v>1.0106076900000001</v>
      </c>
      <c r="I23" s="782">
        <v>1.00093136</v>
      </c>
      <c r="J23" s="780">
        <v>1</v>
      </c>
      <c r="K23" s="781">
        <v>1.01167242</v>
      </c>
      <c r="L23" s="782">
        <v>1.0027546200000002</v>
      </c>
      <c r="M23" s="783">
        <v>1</v>
      </c>
      <c r="N23" s="367"/>
      <c r="O23" s="335"/>
      <c r="P23" s="313">
        <v>2027</v>
      </c>
      <c r="Q23" s="314">
        <v>15</v>
      </c>
      <c r="R23" s="310">
        <f t="shared" si="8"/>
        <v>1.1439854499999993</v>
      </c>
      <c r="S23" s="307">
        <f t="shared" si="8"/>
        <v>1.1343864199999993</v>
      </c>
      <c r="T23" s="307">
        <f t="shared" si="23"/>
        <v>1.1247873899999994</v>
      </c>
      <c r="U23" s="307">
        <f t="shared" si="24"/>
        <v>1.1151883599999994</v>
      </c>
      <c r="V23" s="307">
        <f t="shared" si="25"/>
        <v>1.1055893299999995</v>
      </c>
      <c r="W23" s="307">
        <f t="shared" si="32"/>
        <v>1.0959902999999995</v>
      </c>
      <c r="X23" s="307">
        <f t="shared" si="40"/>
        <v>1.0863912699999996</v>
      </c>
      <c r="Y23" s="307">
        <f t="shared" si="49"/>
        <v>1.0767922399999996</v>
      </c>
      <c r="Z23" s="307">
        <f t="shared" si="59"/>
        <v>1.0671932099999997</v>
      </c>
      <c r="AA23" s="307">
        <f t="shared" si="70"/>
        <v>1.0575941799999997</v>
      </c>
      <c r="AB23" s="307">
        <f t="shared" si="82"/>
        <v>1.0479951499999998</v>
      </c>
      <c r="AC23" s="307">
        <f t="shared" si="95"/>
        <v>1.0383961199999998</v>
      </c>
      <c r="AD23" s="307">
        <f t="shared" si="109"/>
        <v>1.0287970899999999</v>
      </c>
      <c r="AE23" s="310">
        <f t="shared" si="9"/>
        <v>1.2088425999999999</v>
      </c>
      <c r="AF23" s="315">
        <f t="shared" si="9"/>
        <v>1.1949197599999999</v>
      </c>
      <c r="AG23" s="315">
        <f t="shared" si="9"/>
        <v>1.1809969199999999</v>
      </c>
      <c r="AH23" s="315">
        <f t="shared" si="9"/>
        <v>1.1670740799999999</v>
      </c>
      <c r="AI23" s="315">
        <f t="shared" si="9"/>
        <v>1.1531512399999999</v>
      </c>
      <c r="AJ23" s="315">
        <f t="shared" si="9"/>
        <v>1.1392283999999999</v>
      </c>
      <c r="AK23" s="315">
        <f t="shared" si="9"/>
        <v>1.1253055599999999</v>
      </c>
      <c r="AL23" s="315">
        <f t="shared" si="9"/>
        <v>1.1113827199999999</v>
      </c>
      <c r="AM23" s="315">
        <f t="shared" si="9"/>
        <v>1.0974598799999999</v>
      </c>
      <c r="AN23" s="315">
        <f t="shared" si="9"/>
        <v>1.08353704</v>
      </c>
      <c r="AO23" s="315">
        <f t="shared" si="9"/>
        <v>1.0696142</v>
      </c>
      <c r="AP23" s="315">
        <f t="shared" si="9"/>
        <v>1.05569136</v>
      </c>
      <c r="AQ23" s="321">
        <f t="shared" si="9"/>
        <v>1.04176852</v>
      </c>
      <c r="AR23" s="310">
        <f t="shared" si="10"/>
        <v>1.2304313499999999</v>
      </c>
      <c r="AS23" s="307">
        <f t="shared" si="10"/>
        <v>1.2150692599999999</v>
      </c>
      <c r="AT23" s="307">
        <f t="shared" ref="AT23" si="121">$K$8+(AT22-1)</f>
        <v>1.1997071699999999</v>
      </c>
      <c r="AU23" s="307">
        <f t="shared" ref="AU23" si="122">$K$8+(AU22-1)</f>
        <v>1.1843450799999999</v>
      </c>
      <c r="AV23" s="307">
        <f t="shared" ref="AV23" si="123">$K$8+(AV22-1)</f>
        <v>1.1689829899999999</v>
      </c>
      <c r="AW23" s="307">
        <f t="shared" ref="AW23" si="124">$K$8+(AW22-1)</f>
        <v>1.1536208999999999</v>
      </c>
      <c r="AX23" s="307">
        <f t="shared" ref="AX23" si="125">$K$8+(AX22-1)</f>
        <v>1.13825881</v>
      </c>
      <c r="AY23" s="307">
        <f t="shared" ref="AY23" si="126">$K$8+(AY22-1)</f>
        <v>1.12289672</v>
      </c>
      <c r="AZ23" s="307">
        <f t="shared" ref="AZ23" si="127">$K$8+(AZ22-1)</f>
        <v>1.10753463</v>
      </c>
      <c r="BA23" s="307">
        <f t="shared" ref="BA23" si="128">$K$8+(BA22-1)</f>
        <v>1.09217254</v>
      </c>
      <c r="BB23" s="307">
        <f t="shared" ref="BB23" si="129">$K$8+(BB22-1)</f>
        <v>1.07681045</v>
      </c>
      <c r="BC23" s="307">
        <f t="shared" ref="BC23" si="130">$K$8+(BC22-1)</f>
        <v>1.06144836</v>
      </c>
      <c r="BD23" s="307">
        <f t="shared" ref="BD23" si="131">$K$8+(BD22-1)</f>
        <v>1.04608627</v>
      </c>
      <c r="BE23" s="335"/>
      <c r="BF23" s="288"/>
      <c r="BG23" s="535"/>
      <c r="BH23" s="373">
        <v>2027</v>
      </c>
      <c r="BI23" s="374">
        <v>17</v>
      </c>
      <c r="BJ23" s="433">
        <f t="shared" si="0"/>
        <v>1.4615016373309027</v>
      </c>
      <c r="BK23" s="435">
        <f t="shared" si="14"/>
        <v>0.45811152199140021</v>
      </c>
      <c r="BL23" s="500">
        <f t="shared" si="1"/>
        <v>0.7853809526329999</v>
      </c>
      <c r="BM23" s="500">
        <f t="shared" si="5"/>
        <v>0.7787909253509635</v>
      </c>
      <c r="BN23" s="501">
        <f t="shared" si="11"/>
        <v>0.77220089806892711</v>
      </c>
      <c r="BO23" s="520">
        <f t="shared" si="15"/>
        <v>0.76561087078689061</v>
      </c>
      <c r="BP23" s="520">
        <f t="shared" si="20"/>
        <v>0.75902084350485421</v>
      </c>
      <c r="BQ23" s="520">
        <f t="shared" si="29"/>
        <v>0.75243081622281782</v>
      </c>
      <c r="BR23" s="520">
        <f t="shared" si="37"/>
        <v>0.74584078894078143</v>
      </c>
      <c r="BS23" s="520">
        <f t="shared" si="46"/>
        <v>0.73925076165874504</v>
      </c>
      <c r="BT23" s="520">
        <f t="shared" si="56"/>
        <v>0.73266073437670853</v>
      </c>
      <c r="BU23" s="520">
        <f t="shared" si="67"/>
        <v>0.72607070709467214</v>
      </c>
      <c r="BV23" s="520">
        <f t="shared" si="79"/>
        <v>0.71948067981263575</v>
      </c>
      <c r="BW23" s="520">
        <f t="shared" si="92"/>
        <v>0.71289065253059936</v>
      </c>
      <c r="BX23" s="520">
        <f t="shared" si="106"/>
        <v>0.70630062524856285</v>
      </c>
      <c r="BY23" s="500">
        <f t="shared" si="2"/>
        <v>0.82990736706603485</v>
      </c>
      <c r="BZ23" s="501">
        <f t="shared" si="6"/>
        <v>0.80003551052081179</v>
      </c>
      <c r="CA23" s="501">
        <f t="shared" si="12"/>
        <v>0.79071374116008109</v>
      </c>
      <c r="CB23" s="501">
        <f t="shared" si="16"/>
        <v>0.78139197179935049</v>
      </c>
      <c r="CC23" s="501">
        <f t="shared" si="21"/>
        <v>0.7720702024386199</v>
      </c>
      <c r="CD23" s="501">
        <f t="shared" si="30"/>
        <v>0.76274843307788931</v>
      </c>
      <c r="CE23" s="501">
        <f t="shared" si="38"/>
        <v>0.75342666371715872</v>
      </c>
      <c r="CF23" s="501">
        <f t="shared" si="47"/>
        <v>0.74410489435642813</v>
      </c>
      <c r="CG23" s="501">
        <f t="shared" si="57"/>
        <v>0.73478312499569753</v>
      </c>
      <c r="CH23" s="501">
        <f t="shared" si="68"/>
        <v>0.72546135563496683</v>
      </c>
      <c r="CI23" s="501">
        <f t="shared" si="80"/>
        <v>0.71613958627423624</v>
      </c>
      <c r="CJ23" s="501">
        <f t="shared" si="93"/>
        <v>0.70681781691350565</v>
      </c>
      <c r="CK23" s="502">
        <f t="shared" si="107"/>
        <v>0.69749604755277506</v>
      </c>
      <c r="CM23" s="500">
        <f t="shared" si="3"/>
        <v>0.84472870333491457</v>
      </c>
      <c r="CN23" s="501">
        <f t="shared" si="7"/>
        <v>0.8341821593394172</v>
      </c>
      <c r="CO23" s="501">
        <f t="shared" si="13"/>
        <v>0.82363561534391971</v>
      </c>
      <c r="CP23" s="501">
        <f t="shared" si="17"/>
        <v>0.81308907134842234</v>
      </c>
      <c r="CQ23" s="501">
        <f t="shared" si="22"/>
        <v>0.80254252735292497</v>
      </c>
      <c r="CR23" s="501">
        <f t="shared" si="31"/>
        <v>0.79199598335742749</v>
      </c>
      <c r="CS23" s="501">
        <f t="shared" si="39"/>
        <v>0.78144943936193012</v>
      </c>
      <c r="CT23" s="501">
        <f t="shared" si="48"/>
        <v>0.77090289536643275</v>
      </c>
      <c r="CU23" s="501">
        <f t="shared" si="58"/>
        <v>0.76035635137093538</v>
      </c>
      <c r="CV23" s="501">
        <f t="shared" si="69"/>
        <v>0.74980980737543801</v>
      </c>
      <c r="CW23" s="501">
        <f t="shared" si="81"/>
        <v>0.73926326337994064</v>
      </c>
      <c r="CX23" s="501">
        <f t="shared" si="94"/>
        <v>0.72871671938444316</v>
      </c>
      <c r="CY23" s="502">
        <f t="shared" si="108"/>
        <v>0.71817017538894579</v>
      </c>
    </row>
    <row r="24" spans="1:103" ht="14.4" x14ac:dyDescent="0.3">
      <c r="A24" s="335"/>
      <c r="B24" s="302" t="str">
        <f t="shared" si="4"/>
        <v>WestMotorway</v>
      </c>
      <c r="C24" s="303" t="s">
        <v>189</v>
      </c>
      <c r="D24" s="304" t="s">
        <v>28</v>
      </c>
      <c r="E24" s="360">
        <v>1.00816405</v>
      </c>
      <c r="F24" s="361">
        <v>1.00000661</v>
      </c>
      <c r="G24" s="775">
        <v>1</v>
      </c>
      <c r="H24" s="776">
        <v>1.0114191299999999</v>
      </c>
      <c r="I24" s="777">
        <v>1.0040226199999998</v>
      </c>
      <c r="J24" s="775">
        <v>1</v>
      </c>
      <c r="K24" s="776">
        <v>1.01237898</v>
      </c>
      <c r="L24" s="777">
        <v>1.0057678999999999</v>
      </c>
      <c r="M24" s="779">
        <v>1</v>
      </c>
      <c r="N24" s="367"/>
      <c r="O24" s="335"/>
      <c r="P24" s="313">
        <v>2028</v>
      </c>
      <c r="Q24" s="314">
        <v>16</v>
      </c>
      <c r="R24" s="310">
        <f t="shared" si="8"/>
        <v>1.1535844799999992</v>
      </c>
      <c r="S24" s="307">
        <f t="shared" si="8"/>
        <v>1.1439854499999993</v>
      </c>
      <c r="T24" s="307">
        <f t="shared" si="23"/>
        <v>1.1343864199999993</v>
      </c>
      <c r="U24" s="307">
        <f t="shared" si="24"/>
        <v>1.1247873899999994</v>
      </c>
      <c r="V24" s="307">
        <f t="shared" si="25"/>
        <v>1.1151883599999994</v>
      </c>
      <c r="W24" s="307">
        <f t="shared" si="32"/>
        <v>1.1055893299999995</v>
      </c>
      <c r="X24" s="307">
        <f t="shared" si="40"/>
        <v>1.0959902999999995</v>
      </c>
      <c r="Y24" s="307">
        <f t="shared" si="49"/>
        <v>1.0863912699999996</v>
      </c>
      <c r="Z24" s="307">
        <f t="shared" si="59"/>
        <v>1.0767922399999996</v>
      </c>
      <c r="AA24" s="307">
        <f t="shared" si="70"/>
        <v>1.0671932099999997</v>
      </c>
      <c r="AB24" s="307">
        <f t="shared" si="82"/>
        <v>1.0575941799999997</v>
      </c>
      <c r="AC24" s="307">
        <f t="shared" si="95"/>
        <v>1.0479951499999998</v>
      </c>
      <c r="AD24" s="307">
        <f t="shared" si="109"/>
        <v>1.0383961199999998</v>
      </c>
      <c r="AE24" s="310">
        <f t="shared" si="9"/>
        <v>1.2227654399999999</v>
      </c>
      <c r="AF24" s="315">
        <f t="shared" si="9"/>
        <v>1.2088425999999999</v>
      </c>
      <c r="AG24" s="315">
        <f t="shared" si="9"/>
        <v>1.1949197599999999</v>
      </c>
      <c r="AH24" s="315">
        <f t="shared" si="9"/>
        <v>1.1809969199999999</v>
      </c>
      <c r="AI24" s="315">
        <f t="shared" si="9"/>
        <v>1.1670740799999999</v>
      </c>
      <c r="AJ24" s="315">
        <f t="shared" si="9"/>
        <v>1.1531512399999999</v>
      </c>
      <c r="AK24" s="315">
        <f t="shared" si="9"/>
        <v>1.1392283999999999</v>
      </c>
      <c r="AL24" s="315">
        <f t="shared" si="9"/>
        <v>1.1253055599999999</v>
      </c>
      <c r="AM24" s="315">
        <f t="shared" si="9"/>
        <v>1.1113827199999999</v>
      </c>
      <c r="AN24" s="315">
        <f t="shared" si="9"/>
        <v>1.0974598799999999</v>
      </c>
      <c r="AO24" s="315">
        <f t="shared" si="9"/>
        <v>1.08353704</v>
      </c>
      <c r="AP24" s="315">
        <f t="shared" si="9"/>
        <v>1.0696142</v>
      </c>
      <c r="AQ24" s="321">
        <f t="shared" si="9"/>
        <v>1.05569136</v>
      </c>
      <c r="AR24" s="310">
        <f t="shared" si="10"/>
        <v>1.2457934399999999</v>
      </c>
      <c r="AS24" s="307">
        <f t="shared" si="10"/>
        <v>1.2304313499999999</v>
      </c>
      <c r="AT24" s="307">
        <f t="shared" ref="AT24" si="132">$K$8+(AT23-1)</f>
        <v>1.2150692599999999</v>
      </c>
      <c r="AU24" s="307">
        <f t="shared" ref="AU24" si="133">$K$8+(AU23-1)</f>
        <v>1.1997071699999999</v>
      </c>
      <c r="AV24" s="307">
        <f t="shared" ref="AV24" si="134">$K$8+(AV23-1)</f>
        <v>1.1843450799999999</v>
      </c>
      <c r="AW24" s="307">
        <f t="shared" ref="AW24" si="135">$K$8+(AW23-1)</f>
        <v>1.1689829899999999</v>
      </c>
      <c r="AX24" s="307">
        <f t="shared" ref="AX24" si="136">$K$8+(AX23-1)</f>
        <v>1.1536208999999999</v>
      </c>
      <c r="AY24" s="307">
        <f t="shared" ref="AY24" si="137">$K$8+(AY23-1)</f>
        <v>1.13825881</v>
      </c>
      <c r="AZ24" s="307">
        <f t="shared" ref="AZ24" si="138">$K$8+(AZ23-1)</f>
        <v>1.12289672</v>
      </c>
      <c r="BA24" s="307">
        <f t="shared" ref="BA24" si="139">$K$8+(BA23-1)</f>
        <v>1.10753463</v>
      </c>
      <c r="BB24" s="307">
        <f t="shared" ref="BB24" si="140">$K$8+(BB23-1)</f>
        <v>1.09217254</v>
      </c>
      <c r="BC24" s="307">
        <f t="shared" ref="BC24" si="141">$K$8+(BC23-1)</f>
        <v>1.07681045</v>
      </c>
      <c r="BD24" s="307">
        <f t="shared" ref="BD24" si="142">$K$8+(BD23-1)</f>
        <v>1.06144836</v>
      </c>
      <c r="BE24" s="335"/>
      <c r="BF24" s="288"/>
      <c r="BG24" s="535"/>
      <c r="BH24" s="373">
        <v>2028</v>
      </c>
      <c r="BI24" s="374">
        <v>18</v>
      </c>
      <c r="BJ24" s="433">
        <f t="shared" si="0"/>
        <v>1.4965776766268444</v>
      </c>
      <c r="BK24" s="435">
        <f t="shared" si="14"/>
        <v>0.43629668761085727</v>
      </c>
      <c r="BL24" s="500">
        <f t="shared" si="1"/>
        <v>0.77236026993618767</v>
      </c>
      <c r="BM24" s="500">
        <f t="shared" si="5"/>
        <v>0.76593342428208744</v>
      </c>
      <c r="BN24" s="501">
        <f t="shared" si="11"/>
        <v>0.75950657862798709</v>
      </c>
      <c r="BO24" s="520">
        <f t="shared" si="15"/>
        <v>0.75307973297388686</v>
      </c>
      <c r="BP24" s="520">
        <f t="shared" si="20"/>
        <v>0.74665288731978663</v>
      </c>
      <c r="BQ24" s="520">
        <f t="shared" si="29"/>
        <v>0.74022604166568629</v>
      </c>
      <c r="BR24" s="520">
        <f t="shared" si="37"/>
        <v>0.73379919601158605</v>
      </c>
      <c r="BS24" s="520">
        <f t="shared" si="46"/>
        <v>0.72737235035748571</v>
      </c>
      <c r="BT24" s="520">
        <f t="shared" si="56"/>
        <v>0.72094550470338548</v>
      </c>
      <c r="BU24" s="520">
        <f t="shared" si="67"/>
        <v>0.71451865904928513</v>
      </c>
      <c r="BV24" s="520">
        <f t="shared" si="79"/>
        <v>0.70809181339518501</v>
      </c>
      <c r="BW24" s="520">
        <f t="shared" si="92"/>
        <v>0.70166496774108467</v>
      </c>
      <c r="BX24" s="520">
        <f t="shared" si="106"/>
        <v>0.69523812208698432</v>
      </c>
      <c r="BY24" s="500">
        <f t="shared" si="2"/>
        <v>0.81867904924227297</v>
      </c>
      <c r="BZ24" s="501">
        <f t="shared" si="6"/>
        <v>0.78931605199876131</v>
      </c>
      <c r="CA24" s="501">
        <f t="shared" si="12"/>
        <v>0.78022510740315354</v>
      </c>
      <c r="CB24" s="501">
        <f t="shared" si="16"/>
        <v>0.77113416280754576</v>
      </c>
      <c r="CC24" s="501">
        <f t="shared" si="21"/>
        <v>0.76204321821193799</v>
      </c>
      <c r="CD24" s="501">
        <f t="shared" si="30"/>
        <v>0.75295227361633021</v>
      </c>
      <c r="CE24" s="501">
        <f t="shared" si="38"/>
        <v>0.74386132902072244</v>
      </c>
      <c r="CF24" s="501">
        <f t="shared" si="47"/>
        <v>0.73477038442511478</v>
      </c>
      <c r="CG24" s="501">
        <f t="shared" si="57"/>
        <v>0.725679439829507</v>
      </c>
      <c r="CH24" s="501">
        <f t="shared" si="68"/>
        <v>0.71658849523389923</v>
      </c>
      <c r="CI24" s="501">
        <f t="shared" si="80"/>
        <v>0.70749755063829145</v>
      </c>
      <c r="CJ24" s="501">
        <f t="shared" si="93"/>
        <v>0.69840660604268368</v>
      </c>
      <c r="CK24" s="502">
        <f t="shared" si="107"/>
        <v>0.6893156614470759</v>
      </c>
      <c r="CM24" s="500">
        <f t="shared" si="3"/>
        <v>0.83409700311080159</v>
      </c>
      <c r="CN24" s="501">
        <f t="shared" si="7"/>
        <v>0.82381161163328798</v>
      </c>
      <c r="CO24" s="501">
        <f t="shared" si="13"/>
        <v>0.81352622015577436</v>
      </c>
      <c r="CP24" s="501">
        <f t="shared" si="17"/>
        <v>0.80324082867826063</v>
      </c>
      <c r="CQ24" s="501">
        <f t="shared" si="22"/>
        <v>0.79295543720074702</v>
      </c>
      <c r="CR24" s="501">
        <f t="shared" si="31"/>
        <v>0.7826700457232334</v>
      </c>
      <c r="CS24" s="501">
        <f t="shared" si="39"/>
        <v>0.77238465424571978</v>
      </c>
      <c r="CT24" s="501">
        <f t="shared" si="48"/>
        <v>0.76209926276820605</v>
      </c>
      <c r="CU24" s="501">
        <f t="shared" si="58"/>
        <v>0.75181387129069233</v>
      </c>
      <c r="CV24" s="501">
        <f t="shared" si="69"/>
        <v>0.74152847981317871</v>
      </c>
      <c r="CW24" s="501">
        <f t="shared" si="81"/>
        <v>0.73124308833566509</v>
      </c>
      <c r="CX24" s="501">
        <f t="shared" si="94"/>
        <v>0.72095769685815148</v>
      </c>
      <c r="CY24" s="502">
        <f t="shared" si="108"/>
        <v>0.71067230538063775</v>
      </c>
    </row>
    <row r="25" spans="1:103" ht="14.4" x14ac:dyDescent="0.3">
      <c r="A25" s="335"/>
      <c r="B25" s="302" t="str">
        <f t="shared" si="4"/>
        <v>WestNational Primary</v>
      </c>
      <c r="C25" s="312" t="s">
        <v>189</v>
      </c>
      <c r="D25" s="304" t="s">
        <v>210</v>
      </c>
      <c r="E25" s="360">
        <v>1.0057479</v>
      </c>
      <c r="F25" s="361">
        <v>0.99761841000000018</v>
      </c>
      <c r="G25" s="775">
        <v>1</v>
      </c>
      <c r="H25" s="776">
        <v>1.0090384800000001</v>
      </c>
      <c r="I25" s="777">
        <v>1.0016240699999999</v>
      </c>
      <c r="J25" s="775">
        <v>1</v>
      </c>
      <c r="K25" s="776">
        <v>1.0100080800000002</v>
      </c>
      <c r="L25" s="777">
        <v>1.0033542</v>
      </c>
      <c r="M25" s="779">
        <v>1</v>
      </c>
      <c r="N25" s="367"/>
      <c r="O25" s="335"/>
      <c r="P25" s="322">
        <v>2029</v>
      </c>
      <c r="Q25" s="323">
        <v>17</v>
      </c>
      <c r="R25" s="310">
        <f t="shared" si="8"/>
        <v>1.1631835099999992</v>
      </c>
      <c r="S25" s="307">
        <f t="shared" si="8"/>
        <v>1.1535844799999992</v>
      </c>
      <c r="T25" s="307">
        <f t="shared" si="23"/>
        <v>1.1439854499999993</v>
      </c>
      <c r="U25" s="307">
        <f t="shared" si="24"/>
        <v>1.1343864199999993</v>
      </c>
      <c r="V25" s="307">
        <f t="shared" si="25"/>
        <v>1.1247873899999994</v>
      </c>
      <c r="W25" s="307">
        <f t="shared" si="32"/>
        <v>1.1151883599999994</v>
      </c>
      <c r="X25" s="307">
        <f t="shared" si="40"/>
        <v>1.1055893299999995</v>
      </c>
      <c r="Y25" s="307">
        <f t="shared" si="49"/>
        <v>1.0959902999999995</v>
      </c>
      <c r="Z25" s="307">
        <f t="shared" si="59"/>
        <v>1.0863912699999996</v>
      </c>
      <c r="AA25" s="307">
        <f t="shared" si="70"/>
        <v>1.0767922399999996</v>
      </c>
      <c r="AB25" s="307">
        <f t="shared" si="82"/>
        <v>1.0671932099999997</v>
      </c>
      <c r="AC25" s="307">
        <f t="shared" si="95"/>
        <v>1.0575941799999997</v>
      </c>
      <c r="AD25" s="307">
        <f t="shared" si="109"/>
        <v>1.0479951499999998</v>
      </c>
      <c r="AE25" s="310">
        <f t="shared" si="9"/>
        <v>1.2366882799999999</v>
      </c>
      <c r="AF25" s="315">
        <f t="shared" si="9"/>
        <v>1.2227654399999999</v>
      </c>
      <c r="AG25" s="315">
        <f t="shared" si="9"/>
        <v>1.2088425999999999</v>
      </c>
      <c r="AH25" s="315">
        <f t="shared" si="9"/>
        <v>1.1949197599999999</v>
      </c>
      <c r="AI25" s="315">
        <f t="shared" si="9"/>
        <v>1.1809969199999999</v>
      </c>
      <c r="AJ25" s="315">
        <f t="shared" si="9"/>
        <v>1.1670740799999999</v>
      </c>
      <c r="AK25" s="315">
        <f t="shared" si="9"/>
        <v>1.1531512399999999</v>
      </c>
      <c r="AL25" s="315">
        <f t="shared" si="9"/>
        <v>1.1392283999999999</v>
      </c>
      <c r="AM25" s="315">
        <f t="shared" si="9"/>
        <v>1.1253055599999999</v>
      </c>
      <c r="AN25" s="315">
        <f t="shared" si="9"/>
        <v>1.1113827199999999</v>
      </c>
      <c r="AO25" s="315">
        <f t="shared" si="9"/>
        <v>1.0974598799999999</v>
      </c>
      <c r="AP25" s="315">
        <f t="shared" si="9"/>
        <v>1.08353704</v>
      </c>
      <c r="AQ25" s="321">
        <f t="shared" si="9"/>
        <v>1.0696142</v>
      </c>
      <c r="AR25" s="310">
        <f t="shared" si="10"/>
        <v>1.2611555299999999</v>
      </c>
      <c r="AS25" s="307">
        <f t="shared" si="10"/>
        <v>1.2457934399999999</v>
      </c>
      <c r="AT25" s="307">
        <f t="shared" ref="AT25" si="143">$K$8+(AT24-1)</f>
        <v>1.2304313499999999</v>
      </c>
      <c r="AU25" s="307">
        <f t="shared" ref="AU25" si="144">$K$8+(AU24-1)</f>
        <v>1.2150692599999999</v>
      </c>
      <c r="AV25" s="307">
        <f t="shared" ref="AV25" si="145">$K$8+(AV24-1)</f>
        <v>1.1997071699999999</v>
      </c>
      <c r="AW25" s="307">
        <f t="shared" ref="AW25" si="146">$K$8+(AW24-1)</f>
        <v>1.1843450799999999</v>
      </c>
      <c r="AX25" s="307">
        <f t="shared" ref="AX25" si="147">$K$8+(AX24-1)</f>
        <v>1.1689829899999999</v>
      </c>
      <c r="AY25" s="307">
        <f t="shared" ref="AY25" si="148">$K$8+(AY24-1)</f>
        <v>1.1536208999999999</v>
      </c>
      <c r="AZ25" s="307">
        <f t="shared" ref="AZ25" si="149">$K$8+(AZ24-1)</f>
        <v>1.13825881</v>
      </c>
      <c r="BA25" s="307">
        <f t="shared" ref="BA25" si="150">$K$8+(BA24-1)</f>
        <v>1.12289672</v>
      </c>
      <c r="BB25" s="307">
        <f t="shared" ref="BB25" si="151">$K$8+(BB24-1)</f>
        <v>1.10753463</v>
      </c>
      <c r="BC25" s="307">
        <f t="shared" ref="BC25" si="152">$K$8+(BC24-1)</f>
        <v>1.09217254</v>
      </c>
      <c r="BD25" s="307">
        <f t="shared" ref="BD25" si="153">$K$8+(BD24-1)</f>
        <v>1.07681045</v>
      </c>
      <c r="BE25" s="335"/>
      <c r="BF25" s="288"/>
      <c r="BG25" s="535"/>
      <c r="BH25" s="373">
        <v>2029</v>
      </c>
      <c r="BI25" s="374">
        <v>19</v>
      </c>
      <c r="BJ25" s="433">
        <f t="shared" si="0"/>
        <v>1.5324955408658885</v>
      </c>
      <c r="BK25" s="435">
        <f t="shared" si="14"/>
        <v>0.41552065486748313</v>
      </c>
      <c r="BL25" s="500">
        <f t="shared" si="1"/>
        <v>0.75950286320424265</v>
      </c>
      <c r="BM25" s="500">
        <f t="shared" si="5"/>
        <v>0.75323515849014866</v>
      </c>
      <c r="BN25" s="501">
        <f t="shared" si="11"/>
        <v>0.74696745377605467</v>
      </c>
      <c r="BO25" s="520">
        <f t="shared" si="15"/>
        <v>0.74069974906196068</v>
      </c>
      <c r="BP25" s="520">
        <f t="shared" si="20"/>
        <v>0.7344320443478668</v>
      </c>
      <c r="BQ25" s="520">
        <f t="shared" si="29"/>
        <v>0.72816433963377269</v>
      </c>
      <c r="BR25" s="520">
        <f t="shared" si="37"/>
        <v>0.72189663491967881</v>
      </c>
      <c r="BS25" s="520">
        <f t="shared" si="46"/>
        <v>0.71562893020558471</v>
      </c>
      <c r="BT25" s="520">
        <f t="shared" si="56"/>
        <v>0.70936122549149083</v>
      </c>
      <c r="BU25" s="520">
        <f t="shared" si="67"/>
        <v>0.70309352077739673</v>
      </c>
      <c r="BV25" s="520">
        <f t="shared" si="79"/>
        <v>0.69682581606330285</v>
      </c>
      <c r="BW25" s="520">
        <f t="shared" si="92"/>
        <v>0.69055811134920886</v>
      </c>
      <c r="BX25" s="520">
        <f t="shared" si="106"/>
        <v>0.68429040663511487</v>
      </c>
      <c r="BY25" s="500">
        <f t="shared" si="2"/>
        <v>0.80749794118997675</v>
      </c>
      <c r="BZ25" s="501">
        <f t="shared" si="6"/>
        <v>0.77863691858346074</v>
      </c>
      <c r="CA25" s="501">
        <f t="shared" si="12"/>
        <v>0.76977108309212516</v>
      </c>
      <c r="CB25" s="501">
        <f t="shared" si="16"/>
        <v>0.76090524760078959</v>
      </c>
      <c r="CC25" s="501">
        <f t="shared" si="21"/>
        <v>0.75203941210945402</v>
      </c>
      <c r="CD25" s="501">
        <f t="shared" si="30"/>
        <v>0.74317357661811845</v>
      </c>
      <c r="CE25" s="501">
        <f t="shared" si="38"/>
        <v>0.73430774112678288</v>
      </c>
      <c r="CF25" s="501">
        <f t="shared" si="47"/>
        <v>0.72544190563544741</v>
      </c>
      <c r="CG25" s="501">
        <f t="shared" si="57"/>
        <v>0.71657607014411173</v>
      </c>
      <c r="CH25" s="501">
        <f t="shared" si="68"/>
        <v>0.70771023465277627</v>
      </c>
      <c r="CI25" s="501">
        <f t="shared" si="80"/>
        <v>0.6988443991614407</v>
      </c>
      <c r="CJ25" s="501">
        <f t="shared" si="93"/>
        <v>0.68997856367010513</v>
      </c>
      <c r="CK25" s="502">
        <f t="shared" si="107"/>
        <v>0.68111272817876956</v>
      </c>
      <c r="CM25" s="500">
        <f t="shared" si="3"/>
        <v>0.82347387815089024</v>
      </c>
      <c r="CN25" s="501">
        <f t="shared" si="7"/>
        <v>0.8134431725575817</v>
      </c>
      <c r="CO25" s="501">
        <f t="shared" si="13"/>
        <v>0.80341246696427315</v>
      </c>
      <c r="CP25" s="501">
        <f t="shared" si="17"/>
        <v>0.79338176137096461</v>
      </c>
      <c r="CQ25" s="501">
        <f t="shared" si="22"/>
        <v>0.78335105577765607</v>
      </c>
      <c r="CR25" s="501">
        <f t="shared" si="31"/>
        <v>0.77332035018434742</v>
      </c>
      <c r="CS25" s="501">
        <f t="shared" si="39"/>
        <v>0.76328964459103887</v>
      </c>
      <c r="CT25" s="501">
        <f t="shared" si="48"/>
        <v>0.75325893899773033</v>
      </c>
      <c r="CU25" s="501">
        <f t="shared" si="58"/>
        <v>0.74322823340442179</v>
      </c>
      <c r="CV25" s="501">
        <f t="shared" si="69"/>
        <v>0.73319752781111325</v>
      </c>
      <c r="CW25" s="501">
        <f t="shared" si="81"/>
        <v>0.72316682221780471</v>
      </c>
      <c r="CX25" s="501">
        <f t="shared" si="94"/>
        <v>0.71313611662449616</v>
      </c>
      <c r="CY25" s="502">
        <f t="shared" si="108"/>
        <v>0.70310541103118762</v>
      </c>
    </row>
    <row r="26" spans="1:103" ht="14.4" x14ac:dyDescent="0.3">
      <c r="A26" s="335"/>
      <c r="B26" s="302" t="str">
        <f t="shared" si="4"/>
        <v>WestNational Secondary</v>
      </c>
      <c r="C26" s="312" t="s">
        <v>189</v>
      </c>
      <c r="D26" s="304" t="s">
        <v>211</v>
      </c>
      <c r="E26" s="362">
        <v>1.0057133</v>
      </c>
      <c r="F26" s="363">
        <v>0.99758480999999999</v>
      </c>
      <c r="G26" s="775">
        <v>1</v>
      </c>
      <c r="H26" s="776">
        <v>1.00900748</v>
      </c>
      <c r="I26" s="777">
        <v>1.0015902699999999</v>
      </c>
      <c r="J26" s="775">
        <v>1</v>
      </c>
      <c r="K26" s="776">
        <v>1.0099780800000002</v>
      </c>
      <c r="L26" s="777">
        <v>1.0033194000000001</v>
      </c>
      <c r="M26" s="779">
        <v>1</v>
      </c>
      <c r="N26" s="367"/>
      <c r="O26" s="335"/>
      <c r="P26" s="324">
        <v>2030</v>
      </c>
      <c r="Q26" s="325">
        <v>18</v>
      </c>
      <c r="R26" s="518">
        <f>$F$8+(R25-1)</f>
        <v>1.1642955099999992</v>
      </c>
      <c r="S26" s="326">
        <f>$F$8+(S25-1)</f>
        <v>1.1546964799999992</v>
      </c>
      <c r="T26" s="326">
        <f t="shared" ref="T26:AD41" si="154">$F$8+(T25-1)</f>
        <v>1.1450974499999993</v>
      </c>
      <c r="U26" s="326">
        <f t="shared" si="154"/>
        <v>1.1354984199999993</v>
      </c>
      <c r="V26" s="326">
        <f t="shared" si="154"/>
        <v>1.1258993899999994</v>
      </c>
      <c r="W26" s="326">
        <f t="shared" si="154"/>
        <v>1.1163003599999994</v>
      </c>
      <c r="X26" s="326">
        <f t="shared" si="154"/>
        <v>1.1067013299999995</v>
      </c>
      <c r="Y26" s="326">
        <f t="shared" si="154"/>
        <v>1.0971022999999995</v>
      </c>
      <c r="Z26" s="326">
        <f t="shared" si="154"/>
        <v>1.0875032699999996</v>
      </c>
      <c r="AA26" s="326">
        <f t="shared" si="154"/>
        <v>1.0779042399999996</v>
      </c>
      <c r="AB26" s="326">
        <f t="shared" si="154"/>
        <v>1.0683052099999997</v>
      </c>
      <c r="AC26" s="326">
        <f t="shared" si="154"/>
        <v>1.0587061799999997</v>
      </c>
      <c r="AD26" s="326">
        <f t="shared" si="154"/>
        <v>1.0491071499999998</v>
      </c>
      <c r="AE26" s="327">
        <f t="shared" ref="AE26:AH27" si="155">$I$8+(AE25-1)</f>
        <v>1.2412241799999999</v>
      </c>
      <c r="AF26" s="326">
        <f t="shared" si="155"/>
        <v>1.2273013399999999</v>
      </c>
      <c r="AG26" s="326">
        <f t="shared" si="155"/>
        <v>1.2133784999999999</v>
      </c>
      <c r="AH26" s="326">
        <f t="shared" si="155"/>
        <v>1.1994556599999999</v>
      </c>
      <c r="AI26" s="326">
        <f t="shared" ref="AI26:AQ41" si="156">$I$8+(AI25-1)</f>
        <v>1.1855328199999999</v>
      </c>
      <c r="AJ26" s="326">
        <f t="shared" si="156"/>
        <v>1.1716099799999999</v>
      </c>
      <c r="AK26" s="326">
        <f t="shared" si="156"/>
        <v>1.1576871399999999</v>
      </c>
      <c r="AL26" s="326">
        <f t="shared" si="156"/>
        <v>1.1437643</v>
      </c>
      <c r="AM26" s="326">
        <f t="shared" si="156"/>
        <v>1.12984146</v>
      </c>
      <c r="AN26" s="326">
        <f t="shared" si="156"/>
        <v>1.11591862</v>
      </c>
      <c r="AO26" s="326">
        <f t="shared" si="156"/>
        <v>1.10199578</v>
      </c>
      <c r="AP26" s="326">
        <f t="shared" si="156"/>
        <v>1.08807294</v>
      </c>
      <c r="AQ26" s="328">
        <f t="shared" si="156"/>
        <v>1.0741501</v>
      </c>
      <c r="AR26" s="518">
        <f>$L$8+(AR25-1)</f>
        <v>1.26732763</v>
      </c>
      <c r="AS26" s="326">
        <f>$L$8+(AS25-1)</f>
        <v>1.25196554</v>
      </c>
      <c r="AT26" s="326">
        <f t="shared" ref="AT26:BD41" si="157">$L$8+(AT25-1)</f>
        <v>1.23660345</v>
      </c>
      <c r="AU26" s="326">
        <f t="shared" si="157"/>
        <v>1.2212413600000001</v>
      </c>
      <c r="AV26" s="326">
        <f t="shared" si="157"/>
        <v>1.2058792700000001</v>
      </c>
      <c r="AW26" s="326">
        <f t="shared" si="157"/>
        <v>1.1905171800000001</v>
      </c>
      <c r="AX26" s="326">
        <f t="shared" si="157"/>
        <v>1.1751550900000001</v>
      </c>
      <c r="AY26" s="326">
        <f t="shared" si="157"/>
        <v>1.1597930000000001</v>
      </c>
      <c r="AZ26" s="326">
        <f t="shared" si="157"/>
        <v>1.1444309100000001</v>
      </c>
      <c r="BA26" s="326">
        <f t="shared" si="157"/>
        <v>1.1290688200000001</v>
      </c>
      <c r="BB26" s="326">
        <f t="shared" si="157"/>
        <v>1.1137067300000001</v>
      </c>
      <c r="BC26" s="326">
        <f t="shared" si="157"/>
        <v>1.0983446400000001</v>
      </c>
      <c r="BD26" s="326">
        <f t="shared" si="157"/>
        <v>1.0829825500000001</v>
      </c>
      <c r="BE26" s="335"/>
      <c r="BF26" s="288"/>
      <c r="BG26" s="535"/>
      <c r="BH26" s="515">
        <v>2030</v>
      </c>
      <c r="BI26" s="372">
        <v>20</v>
      </c>
      <c r="BJ26" s="433">
        <f t="shared" si="0"/>
        <v>1.5692754338466701</v>
      </c>
      <c r="BK26" s="435">
        <f t="shared" si="14"/>
        <v>0.39573395701665059</v>
      </c>
      <c r="BL26" s="500">
        <f t="shared" si="1"/>
        <v>0.74140422894758817</v>
      </c>
      <c r="BM26" s="500">
        <f t="shared" si="5"/>
        <v>0.73529172454070024</v>
      </c>
      <c r="BN26" s="501">
        <f t="shared" si="11"/>
        <v>0.72917922013381242</v>
      </c>
      <c r="BO26" s="520">
        <f t="shared" si="15"/>
        <v>0.7230667157269246</v>
      </c>
      <c r="BP26" s="520">
        <f t="shared" si="20"/>
        <v>0.71695421132003678</v>
      </c>
      <c r="BQ26" s="520">
        <f t="shared" si="29"/>
        <v>0.71084170691314885</v>
      </c>
      <c r="BR26" s="520">
        <f t="shared" si="37"/>
        <v>0.70472920250626103</v>
      </c>
      <c r="BS26" s="520">
        <f t="shared" si="46"/>
        <v>0.69861669809937321</v>
      </c>
      <c r="BT26" s="520">
        <f t="shared" si="56"/>
        <v>0.69250419369248528</v>
      </c>
      <c r="BU26" s="520">
        <f t="shared" si="67"/>
        <v>0.68639168928559757</v>
      </c>
      <c r="BV26" s="520">
        <f t="shared" si="79"/>
        <v>0.68027918487870964</v>
      </c>
      <c r="BW26" s="520">
        <f t="shared" si="92"/>
        <v>0.67416668047182182</v>
      </c>
      <c r="BX26" s="520">
        <f t="shared" si="106"/>
        <v>0.668054176064934</v>
      </c>
      <c r="BY26" s="500">
        <f t="shared" si="2"/>
        <v>0.79039114058251658</v>
      </c>
      <c r="BZ26" s="501">
        <f t="shared" si="6"/>
        <v>0.76217324991749491</v>
      </c>
      <c r="CA26" s="501">
        <f t="shared" si="12"/>
        <v>0.75352694940023046</v>
      </c>
      <c r="CB26" s="501">
        <f t="shared" si="16"/>
        <v>0.74488064888296601</v>
      </c>
      <c r="CC26" s="501">
        <f t="shared" si="21"/>
        <v>0.73623434836570167</v>
      </c>
      <c r="CD26" s="501">
        <f t="shared" si="30"/>
        <v>0.72758804784843722</v>
      </c>
      <c r="CE26" s="501">
        <f t="shared" si="38"/>
        <v>0.71894174733117289</v>
      </c>
      <c r="CF26" s="501">
        <f t="shared" si="47"/>
        <v>0.71029544681390844</v>
      </c>
      <c r="CG26" s="501">
        <f t="shared" si="57"/>
        <v>0.7016491462966441</v>
      </c>
      <c r="CH26" s="501">
        <f t="shared" si="68"/>
        <v>0.69300284577937965</v>
      </c>
      <c r="CI26" s="501">
        <f t="shared" si="80"/>
        <v>0.6843565452621152</v>
      </c>
      <c r="CJ26" s="501">
        <f t="shared" si="93"/>
        <v>0.67571024474485086</v>
      </c>
      <c r="CK26" s="502">
        <f t="shared" si="107"/>
        <v>0.66706394422758652</v>
      </c>
      <c r="CM26" s="500">
        <f t="shared" si="3"/>
        <v>0.80701338815961332</v>
      </c>
      <c r="CN26" s="501">
        <f t="shared" si="7"/>
        <v>0.79723106194290105</v>
      </c>
      <c r="CO26" s="501">
        <f t="shared" si="13"/>
        <v>0.78744873572618868</v>
      </c>
      <c r="CP26" s="501">
        <f t="shared" si="17"/>
        <v>0.7776664095094763</v>
      </c>
      <c r="CQ26" s="501">
        <f t="shared" si="22"/>
        <v>0.76788408329276392</v>
      </c>
      <c r="CR26" s="501">
        <f t="shared" si="31"/>
        <v>0.75810175707605165</v>
      </c>
      <c r="CS26" s="501">
        <f t="shared" si="39"/>
        <v>0.74831943085933939</v>
      </c>
      <c r="CT26" s="501">
        <f t="shared" si="48"/>
        <v>0.73853710464262701</v>
      </c>
      <c r="CU26" s="501">
        <f t="shared" si="58"/>
        <v>0.72875477842591463</v>
      </c>
      <c r="CV26" s="501">
        <f t="shared" si="69"/>
        <v>0.71897245220920225</v>
      </c>
      <c r="CW26" s="501">
        <f t="shared" si="81"/>
        <v>0.70919012599248998</v>
      </c>
      <c r="CX26" s="501">
        <f t="shared" si="94"/>
        <v>0.69940779977577772</v>
      </c>
      <c r="CY26" s="502">
        <f t="shared" si="108"/>
        <v>0.68962547355906534</v>
      </c>
    </row>
    <row r="27" spans="1:103" ht="14.4" x14ac:dyDescent="0.3">
      <c r="A27" s="335"/>
      <c r="B27" s="302" t="str">
        <f t="shared" si="4"/>
        <v>South-EastMotorway</v>
      </c>
      <c r="C27" s="318" t="s">
        <v>192</v>
      </c>
      <c r="D27" s="319" t="s">
        <v>28</v>
      </c>
      <c r="E27" s="360">
        <v>1.01073389</v>
      </c>
      <c r="F27" s="361">
        <v>1.0026934599999999</v>
      </c>
      <c r="G27" s="784">
        <v>1</v>
      </c>
      <c r="H27" s="785">
        <v>1.01362185</v>
      </c>
      <c r="I27" s="786">
        <v>1.00539932</v>
      </c>
      <c r="J27" s="784">
        <v>1</v>
      </c>
      <c r="K27" s="785">
        <v>1.0147652600000001</v>
      </c>
      <c r="L27" s="786">
        <v>1.0070528200000002</v>
      </c>
      <c r="M27" s="787">
        <v>1</v>
      </c>
      <c r="N27" s="367"/>
      <c r="O27" s="335"/>
      <c r="P27" s="313">
        <v>2031</v>
      </c>
      <c r="Q27" s="314">
        <v>19</v>
      </c>
      <c r="R27" s="330">
        <f t="shared" ref="R27:R38" si="158">$F$8+(R26-1)</f>
        <v>1.1654075099999992</v>
      </c>
      <c r="S27" s="329">
        <f>$F$8+(S26-1)</f>
        <v>1.1558084799999992</v>
      </c>
      <c r="T27" s="329">
        <f t="shared" si="154"/>
        <v>1.1462094499999993</v>
      </c>
      <c r="U27" s="329">
        <f t="shared" si="154"/>
        <v>1.1366104199999993</v>
      </c>
      <c r="V27" s="329">
        <f t="shared" si="154"/>
        <v>1.1270113899999994</v>
      </c>
      <c r="W27" s="329">
        <f t="shared" si="154"/>
        <v>1.1174123599999994</v>
      </c>
      <c r="X27" s="329">
        <f t="shared" si="154"/>
        <v>1.1078133299999995</v>
      </c>
      <c r="Y27" s="329">
        <f t="shared" si="154"/>
        <v>1.0982142999999995</v>
      </c>
      <c r="Z27" s="329">
        <f t="shared" si="154"/>
        <v>1.0886152699999996</v>
      </c>
      <c r="AA27" s="329">
        <f t="shared" si="154"/>
        <v>1.0790162399999996</v>
      </c>
      <c r="AB27" s="329">
        <f t="shared" si="154"/>
        <v>1.0694172099999997</v>
      </c>
      <c r="AC27" s="329">
        <f t="shared" si="154"/>
        <v>1.0598181799999997</v>
      </c>
      <c r="AD27" s="329">
        <f>$F$8+(AD26-1)</f>
        <v>1.0502191499999998</v>
      </c>
      <c r="AE27" s="330">
        <f t="shared" si="155"/>
        <v>1.2457600799999999</v>
      </c>
      <c r="AF27" s="329">
        <f t="shared" si="155"/>
        <v>1.2318372399999999</v>
      </c>
      <c r="AG27" s="329">
        <f t="shared" si="155"/>
        <v>1.2179144</v>
      </c>
      <c r="AH27" s="329">
        <f t="shared" si="155"/>
        <v>1.20399156</v>
      </c>
      <c r="AI27" s="329">
        <f t="shared" si="156"/>
        <v>1.19006872</v>
      </c>
      <c r="AJ27" s="329">
        <f t="shared" si="156"/>
        <v>1.17614588</v>
      </c>
      <c r="AK27" s="329">
        <f t="shared" si="156"/>
        <v>1.16222304</v>
      </c>
      <c r="AL27" s="329">
        <f t="shared" si="156"/>
        <v>1.1483002</v>
      </c>
      <c r="AM27" s="329">
        <f t="shared" si="156"/>
        <v>1.13437736</v>
      </c>
      <c r="AN27" s="329">
        <f t="shared" si="156"/>
        <v>1.12045452</v>
      </c>
      <c r="AO27" s="329">
        <f t="shared" si="156"/>
        <v>1.10653168</v>
      </c>
      <c r="AP27" s="329">
        <f t="shared" si="156"/>
        <v>1.09260884</v>
      </c>
      <c r="AQ27" s="331">
        <f t="shared" si="156"/>
        <v>1.078686</v>
      </c>
      <c r="AR27" s="330">
        <f t="shared" ref="AR27:AR38" si="159">$L$8+(AR26-1)</f>
        <v>1.2734997300000002</v>
      </c>
      <c r="AS27" s="329">
        <f t="shared" ref="AS27:AS39" si="160">$L$8+(AS26-1)</f>
        <v>1.2581376400000002</v>
      </c>
      <c r="AT27" s="329">
        <f t="shared" si="157"/>
        <v>1.2427755500000002</v>
      </c>
      <c r="AU27" s="329">
        <f t="shared" si="157"/>
        <v>1.2274134600000002</v>
      </c>
      <c r="AV27" s="329">
        <f t="shared" si="157"/>
        <v>1.2120513700000002</v>
      </c>
      <c r="AW27" s="329">
        <f t="shared" si="157"/>
        <v>1.1966892800000002</v>
      </c>
      <c r="AX27" s="329">
        <f t="shared" si="157"/>
        <v>1.1813271900000002</v>
      </c>
      <c r="AY27" s="329">
        <f t="shared" si="157"/>
        <v>1.1659651000000002</v>
      </c>
      <c r="AZ27" s="329">
        <f t="shared" si="157"/>
        <v>1.1506030100000002</v>
      </c>
      <c r="BA27" s="329">
        <f t="shared" si="157"/>
        <v>1.1352409200000002</v>
      </c>
      <c r="BB27" s="329">
        <f t="shared" si="157"/>
        <v>1.1198788300000002</v>
      </c>
      <c r="BC27" s="329">
        <f t="shared" si="157"/>
        <v>1.1045167400000002</v>
      </c>
      <c r="BD27" s="329">
        <f t="shared" si="157"/>
        <v>1.0891546500000002</v>
      </c>
      <c r="BE27" s="335"/>
      <c r="BF27" s="288"/>
      <c r="BG27" s="535"/>
      <c r="BH27" s="436">
        <v>2031</v>
      </c>
      <c r="BI27" s="437">
        <v>21</v>
      </c>
      <c r="BJ27" s="433">
        <f t="shared" si="0"/>
        <v>1.60693804425899</v>
      </c>
      <c r="BK27" s="435">
        <f t="shared" si="14"/>
        <v>0.37688948287300061</v>
      </c>
      <c r="BL27" s="500">
        <f t="shared" si="1"/>
        <v>0.72373621736203331</v>
      </c>
      <c r="BM27" s="500">
        <f t="shared" si="5"/>
        <v>0.71777507020712561</v>
      </c>
      <c r="BN27" s="501">
        <f t="shared" si="11"/>
        <v>0.71181392305221791</v>
      </c>
      <c r="BO27" s="520">
        <f t="shared" si="15"/>
        <v>0.70585277589730999</v>
      </c>
      <c r="BP27" s="520">
        <f t="shared" si="20"/>
        <v>0.69989162874240229</v>
      </c>
      <c r="BQ27" s="520">
        <f t="shared" si="29"/>
        <v>0.69393048158749449</v>
      </c>
      <c r="BR27" s="520">
        <f t="shared" si="37"/>
        <v>0.68796933443258679</v>
      </c>
      <c r="BS27" s="520">
        <f t="shared" si="46"/>
        <v>0.68200818727767898</v>
      </c>
      <c r="BT27" s="520">
        <f t="shared" si="56"/>
        <v>0.67604704012277117</v>
      </c>
      <c r="BU27" s="520">
        <f t="shared" si="67"/>
        <v>0.67008589296786347</v>
      </c>
      <c r="BV27" s="520">
        <f t="shared" si="79"/>
        <v>0.66412474581295566</v>
      </c>
      <c r="BW27" s="520">
        <f t="shared" si="92"/>
        <v>0.65816359865804785</v>
      </c>
      <c r="BX27" s="520">
        <f t="shared" si="106"/>
        <v>0.65220245150314016</v>
      </c>
      <c r="BY27" s="500">
        <f t="shared" si="2"/>
        <v>0.77363641499085989</v>
      </c>
      <c r="BZ27" s="501">
        <f t="shared" si="6"/>
        <v>0.74604750211520177</v>
      </c>
      <c r="CA27" s="501">
        <f t="shared" si="12"/>
        <v>0.73761530046788859</v>
      </c>
      <c r="CB27" s="501">
        <f t="shared" si="16"/>
        <v>0.72918309882057553</v>
      </c>
      <c r="CC27" s="501">
        <f t="shared" si="21"/>
        <v>0.72075089717326246</v>
      </c>
      <c r="CD27" s="501">
        <f t="shared" si="30"/>
        <v>0.71231869552594929</v>
      </c>
      <c r="CE27" s="501">
        <f t="shared" si="38"/>
        <v>0.70388649387863622</v>
      </c>
      <c r="CF27" s="501">
        <f t="shared" si="47"/>
        <v>0.69545429223132316</v>
      </c>
      <c r="CG27" s="501">
        <f t="shared" si="57"/>
        <v>0.68702209058401009</v>
      </c>
      <c r="CH27" s="501">
        <f t="shared" si="68"/>
        <v>0.67858988893669692</v>
      </c>
      <c r="CI27" s="501">
        <f t="shared" si="80"/>
        <v>0.67015768728938385</v>
      </c>
      <c r="CJ27" s="501">
        <f t="shared" si="93"/>
        <v>0.66172548564207079</v>
      </c>
      <c r="CK27" s="502">
        <f t="shared" si="107"/>
        <v>0.65329328399475772</v>
      </c>
      <c r="CM27" s="500">
        <f t="shared" si="3"/>
        <v>0.79086316974375048</v>
      </c>
      <c r="CN27" s="501">
        <f t="shared" si="7"/>
        <v>0.78132307255716626</v>
      </c>
      <c r="CO27" s="501">
        <f t="shared" si="13"/>
        <v>0.77178297537058205</v>
      </c>
      <c r="CP27" s="501">
        <f t="shared" si="17"/>
        <v>0.76224287818399783</v>
      </c>
      <c r="CQ27" s="501">
        <f t="shared" si="22"/>
        <v>0.75270278099741361</v>
      </c>
      <c r="CR27" s="501">
        <f t="shared" si="31"/>
        <v>0.74316268381082928</v>
      </c>
      <c r="CS27" s="501">
        <f t="shared" si="39"/>
        <v>0.73362258662424518</v>
      </c>
      <c r="CT27" s="501">
        <f t="shared" si="48"/>
        <v>0.72408248943766085</v>
      </c>
      <c r="CU27" s="501">
        <f t="shared" si="58"/>
        <v>0.71454239225107674</v>
      </c>
      <c r="CV27" s="501">
        <f t="shared" si="69"/>
        <v>0.70500229506449252</v>
      </c>
      <c r="CW27" s="501">
        <f t="shared" si="81"/>
        <v>0.69546219787790819</v>
      </c>
      <c r="CX27" s="501">
        <f t="shared" si="94"/>
        <v>0.68592210069132409</v>
      </c>
      <c r="CY27" s="502">
        <f t="shared" si="108"/>
        <v>0.67638200350473976</v>
      </c>
    </row>
    <row r="28" spans="1:103" ht="14.4" x14ac:dyDescent="0.3">
      <c r="A28" s="335"/>
      <c r="B28" s="302" t="str">
        <f t="shared" si="4"/>
        <v>South-EastNational Primary</v>
      </c>
      <c r="C28" s="312" t="s">
        <v>192</v>
      </c>
      <c r="D28" s="304" t="s">
        <v>210</v>
      </c>
      <c r="E28" s="360">
        <v>1.0083779400000001</v>
      </c>
      <c r="F28" s="361">
        <v>1.0003605600000001</v>
      </c>
      <c r="G28" s="775">
        <v>1</v>
      </c>
      <c r="H28" s="776">
        <v>1.0112928000000001</v>
      </c>
      <c r="I28" s="777">
        <v>1.0030330199999999</v>
      </c>
      <c r="J28" s="775">
        <v>1</v>
      </c>
      <c r="K28" s="776">
        <v>1.01245026</v>
      </c>
      <c r="L28" s="777">
        <v>1.00466922</v>
      </c>
      <c r="M28" s="779">
        <v>1</v>
      </c>
      <c r="N28" s="367"/>
      <c r="O28" s="335"/>
      <c r="P28" s="313">
        <v>2032</v>
      </c>
      <c r="Q28" s="314">
        <v>20</v>
      </c>
      <c r="R28" s="330">
        <f t="shared" si="158"/>
        <v>1.1665195099999992</v>
      </c>
      <c r="S28" s="329">
        <f t="shared" ref="S28:S39" si="161">$F$8+(S27-1)</f>
        <v>1.1569204799999993</v>
      </c>
      <c r="T28" s="329">
        <f t="shared" si="154"/>
        <v>1.1473214499999993</v>
      </c>
      <c r="U28" s="329">
        <f t="shared" si="154"/>
        <v>1.1377224199999993</v>
      </c>
      <c r="V28" s="329">
        <f t="shared" si="154"/>
        <v>1.1281233899999994</v>
      </c>
      <c r="W28" s="329">
        <f t="shared" si="154"/>
        <v>1.1185243599999994</v>
      </c>
      <c r="X28" s="329">
        <f t="shared" si="154"/>
        <v>1.1089253299999995</v>
      </c>
      <c r="Y28" s="329">
        <f t="shared" si="154"/>
        <v>1.0993262999999995</v>
      </c>
      <c r="Z28" s="329">
        <f t="shared" si="154"/>
        <v>1.0897272699999996</v>
      </c>
      <c r="AA28" s="329">
        <f t="shared" si="154"/>
        <v>1.0801282399999996</v>
      </c>
      <c r="AB28" s="329">
        <f t="shared" si="154"/>
        <v>1.0705292099999997</v>
      </c>
      <c r="AC28" s="329">
        <f t="shared" si="154"/>
        <v>1.0609301799999997</v>
      </c>
      <c r="AD28" s="329">
        <f t="shared" ref="AD28:AD46" si="162">$F$8+(AD27-1)</f>
        <v>1.0513311499999998</v>
      </c>
      <c r="AE28" s="330">
        <f t="shared" ref="AE28:AH40" si="163">$I$8+(AE27-1)</f>
        <v>1.25029598</v>
      </c>
      <c r="AF28" s="329">
        <f t="shared" si="163"/>
        <v>1.23637314</v>
      </c>
      <c r="AG28" s="329">
        <f t="shared" si="163"/>
        <v>1.2224503</v>
      </c>
      <c r="AH28" s="329">
        <f>$I$8+(AH27-1)</f>
        <v>1.20852746</v>
      </c>
      <c r="AI28" s="329">
        <f t="shared" si="156"/>
        <v>1.19460462</v>
      </c>
      <c r="AJ28" s="329">
        <f t="shared" si="156"/>
        <v>1.18068178</v>
      </c>
      <c r="AK28" s="329">
        <f t="shared" si="156"/>
        <v>1.16675894</v>
      </c>
      <c r="AL28" s="329">
        <f t="shared" si="156"/>
        <v>1.1528361</v>
      </c>
      <c r="AM28" s="329">
        <f t="shared" si="156"/>
        <v>1.13891326</v>
      </c>
      <c r="AN28" s="329">
        <f t="shared" si="156"/>
        <v>1.12499042</v>
      </c>
      <c r="AO28" s="329">
        <f t="shared" si="156"/>
        <v>1.1110675800000001</v>
      </c>
      <c r="AP28" s="329">
        <f t="shared" si="156"/>
        <v>1.0971447400000001</v>
      </c>
      <c r="AQ28" s="331">
        <f t="shared" si="156"/>
        <v>1.0832219000000001</v>
      </c>
      <c r="AR28" s="330">
        <f t="shared" si="159"/>
        <v>1.2796718300000003</v>
      </c>
      <c r="AS28" s="329">
        <f t="shared" si="160"/>
        <v>1.2643097400000003</v>
      </c>
      <c r="AT28" s="329">
        <f t="shared" si="157"/>
        <v>1.2489476500000003</v>
      </c>
      <c r="AU28" s="329">
        <f t="shared" si="157"/>
        <v>1.2335855600000003</v>
      </c>
      <c r="AV28" s="329">
        <f t="shared" si="157"/>
        <v>1.2182234700000003</v>
      </c>
      <c r="AW28" s="329">
        <f t="shared" si="157"/>
        <v>1.2028613800000003</v>
      </c>
      <c r="AX28" s="329">
        <f t="shared" si="157"/>
        <v>1.1874992900000003</v>
      </c>
      <c r="AY28" s="329">
        <f t="shared" si="157"/>
        <v>1.1721372000000003</v>
      </c>
      <c r="AZ28" s="329">
        <f t="shared" si="157"/>
        <v>1.1567751100000003</v>
      </c>
      <c r="BA28" s="329">
        <f t="shared" si="157"/>
        <v>1.1414130200000003</v>
      </c>
      <c r="BB28" s="329">
        <f t="shared" si="157"/>
        <v>1.1260509300000003</v>
      </c>
      <c r="BC28" s="329">
        <f t="shared" si="157"/>
        <v>1.1106888400000003</v>
      </c>
      <c r="BD28" s="329">
        <f t="shared" si="157"/>
        <v>1.0953267500000003</v>
      </c>
      <c r="BE28" s="335"/>
      <c r="BF28" s="288"/>
      <c r="BG28" s="535"/>
      <c r="BH28" s="373">
        <v>2032</v>
      </c>
      <c r="BI28" s="374">
        <v>22</v>
      </c>
      <c r="BJ28" s="433">
        <f t="shared" si="0"/>
        <v>1.6455045573212059</v>
      </c>
      <c r="BK28" s="435">
        <f t="shared" si="14"/>
        <v>0.35894236464095297</v>
      </c>
      <c r="BL28" s="500">
        <f t="shared" si="1"/>
        <v>0.70648859958491628</v>
      </c>
      <c r="BM28" s="500">
        <f t="shared" si="5"/>
        <v>0.7006750617881301</v>
      </c>
      <c r="BN28" s="501">
        <f t="shared" si="11"/>
        <v>0.69486152399134382</v>
      </c>
      <c r="BO28" s="520">
        <f t="shared" si="15"/>
        <v>0.68904798619455754</v>
      </c>
      <c r="BP28" s="520">
        <f t="shared" si="20"/>
        <v>0.68323444839777137</v>
      </c>
      <c r="BQ28" s="520">
        <f t="shared" si="29"/>
        <v>0.67742091060098508</v>
      </c>
      <c r="BR28" s="520">
        <f t="shared" si="37"/>
        <v>0.6716073728041988</v>
      </c>
      <c r="BS28" s="520">
        <f t="shared" si="46"/>
        <v>0.66579383500741263</v>
      </c>
      <c r="BT28" s="520">
        <f t="shared" si="56"/>
        <v>0.65998029721062634</v>
      </c>
      <c r="BU28" s="520">
        <f t="shared" si="67"/>
        <v>0.65416675941384006</v>
      </c>
      <c r="BV28" s="520">
        <f t="shared" si="79"/>
        <v>0.64835322161705389</v>
      </c>
      <c r="BW28" s="520">
        <f t="shared" si="92"/>
        <v>0.64253968382026772</v>
      </c>
      <c r="BX28" s="520">
        <f t="shared" si="106"/>
        <v>0.63672614602348132</v>
      </c>
      <c r="BY28" s="500">
        <f t="shared" si="2"/>
        <v>0.75722681738675002</v>
      </c>
      <c r="BZ28" s="501">
        <f t="shared" si="6"/>
        <v>0.73025303477826997</v>
      </c>
      <c r="CA28" s="501">
        <f t="shared" si="12"/>
        <v>0.72202963050508084</v>
      </c>
      <c r="CB28" s="501">
        <f t="shared" si="16"/>
        <v>0.71380622623189172</v>
      </c>
      <c r="CC28" s="501">
        <f t="shared" si="21"/>
        <v>0.70558282195870259</v>
      </c>
      <c r="CD28" s="501">
        <f t="shared" si="30"/>
        <v>0.69735941768551335</v>
      </c>
      <c r="CE28" s="501">
        <f t="shared" si="38"/>
        <v>0.68913601341232433</v>
      </c>
      <c r="CF28" s="501">
        <f t="shared" si="47"/>
        <v>0.68091260913913521</v>
      </c>
      <c r="CG28" s="501">
        <f t="shared" si="57"/>
        <v>0.67268920486594608</v>
      </c>
      <c r="CH28" s="501">
        <f t="shared" si="68"/>
        <v>0.66446580059275684</v>
      </c>
      <c r="CI28" s="501">
        <f t="shared" si="80"/>
        <v>0.65624239631956771</v>
      </c>
      <c r="CJ28" s="501">
        <f t="shared" si="93"/>
        <v>0.64801899204637858</v>
      </c>
      <c r="CK28" s="502">
        <f t="shared" si="107"/>
        <v>0.63979558777318946</v>
      </c>
      <c r="CM28" s="500">
        <f t="shared" si="3"/>
        <v>0.77501794985406458</v>
      </c>
      <c r="CN28" s="501">
        <f t="shared" si="7"/>
        <v>0.7657140836454337</v>
      </c>
      <c r="CO28" s="501">
        <f t="shared" si="13"/>
        <v>0.75641021743680303</v>
      </c>
      <c r="CP28" s="501">
        <f t="shared" si="17"/>
        <v>0.74710635122817248</v>
      </c>
      <c r="CQ28" s="501">
        <f t="shared" si="22"/>
        <v>0.73780248501954171</v>
      </c>
      <c r="CR28" s="501">
        <f t="shared" si="31"/>
        <v>0.72849861881091094</v>
      </c>
      <c r="CS28" s="501">
        <f t="shared" si="39"/>
        <v>0.71919475260228027</v>
      </c>
      <c r="CT28" s="501">
        <f t="shared" si="48"/>
        <v>0.70989088639364961</v>
      </c>
      <c r="CU28" s="501">
        <f t="shared" si="58"/>
        <v>0.70058702018501884</v>
      </c>
      <c r="CV28" s="501">
        <f t="shared" si="69"/>
        <v>0.69128315397638818</v>
      </c>
      <c r="CW28" s="501">
        <f t="shared" si="81"/>
        <v>0.68197928776775751</v>
      </c>
      <c r="CX28" s="501">
        <f t="shared" si="94"/>
        <v>0.67267542155912674</v>
      </c>
      <c r="CY28" s="502">
        <f t="shared" si="108"/>
        <v>0.66337155535049608</v>
      </c>
    </row>
    <row r="29" spans="1:103" ht="14.4" x14ac:dyDescent="0.3">
      <c r="A29" s="335"/>
      <c r="B29" s="302" t="str">
        <f t="shared" si="4"/>
        <v>South-EastNational Secondary</v>
      </c>
      <c r="C29" s="316" t="s">
        <v>192</v>
      </c>
      <c r="D29" s="317" t="s">
        <v>211</v>
      </c>
      <c r="E29" s="362">
        <v>1.0083489400000001</v>
      </c>
      <c r="F29" s="363">
        <v>1.0003321600000001</v>
      </c>
      <c r="G29" s="780">
        <v>1</v>
      </c>
      <c r="H29" s="781">
        <v>1.0112665999999999</v>
      </c>
      <c r="I29" s="782">
        <v>1.0030022199999999</v>
      </c>
      <c r="J29" s="780">
        <v>1</v>
      </c>
      <c r="K29" s="781">
        <v>1.01242546</v>
      </c>
      <c r="L29" s="782">
        <v>1.00463722</v>
      </c>
      <c r="M29" s="783">
        <v>1</v>
      </c>
      <c r="N29" s="367"/>
      <c r="O29" s="335"/>
      <c r="P29" s="313">
        <v>2033</v>
      </c>
      <c r="Q29" s="314">
        <v>21</v>
      </c>
      <c r="R29" s="330">
        <f t="shared" si="158"/>
        <v>1.1676315099999992</v>
      </c>
      <c r="S29" s="329">
        <f t="shared" si="161"/>
        <v>1.1580324799999993</v>
      </c>
      <c r="T29" s="329">
        <f t="shared" si="154"/>
        <v>1.1484334499999993</v>
      </c>
      <c r="U29" s="329">
        <f t="shared" si="154"/>
        <v>1.1388344199999993</v>
      </c>
      <c r="V29" s="329">
        <f t="shared" si="154"/>
        <v>1.1292353899999994</v>
      </c>
      <c r="W29" s="329">
        <f t="shared" si="154"/>
        <v>1.1196363599999994</v>
      </c>
      <c r="X29" s="329">
        <f t="shared" si="154"/>
        <v>1.1100373299999995</v>
      </c>
      <c r="Y29" s="329">
        <f t="shared" si="154"/>
        <v>1.1004382999999995</v>
      </c>
      <c r="Z29" s="329">
        <f t="shared" si="154"/>
        <v>1.0908392699999996</v>
      </c>
      <c r="AA29" s="329">
        <f t="shared" si="154"/>
        <v>1.0812402399999996</v>
      </c>
      <c r="AB29" s="329">
        <f t="shared" si="154"/>
        <v>1.0716412099999997</v>
      </c>
      <c r="AC29" s="329">
        <f t="shared" si="154"/>
        <v>1.0620421799999997</v>
      </c>
      <c r="AD29" s="329">
        <f t="shared" si="162"/>
        <v>1.0524431499999998</v>
      </c>
      <c r="AE29" s="330">
        <f t="shared" si="163"/>
        <v>1.25483188</v>
      </c>
      <c r="AF29" s="329">
        <f t="shared" si="163"/>
        <v>1.24090904</v>
      </c>
      <c r="AG29" s="329">
        <f t="shared" si="163"/>
        <v>1.2269862</v>
      </c>
      <c r="AH29" s="329">
        <f t="shared" si="163"/>
        <v>1.21306336</v>
      </c>
      <c r="AI29" s="329">
        <f t="shared" si="156"/>
        <v>1.19914052</v>
      </c>
      <c r="AJ29" s="329">
        <f t="shared" si="156"/>
        <v>1.1852176800000001</v>
      </c>
      <c r="AK29" s="329">
        <f t="shared" si="156"/>
        <v>1.1712948400000001</v>
      </c>
      <c r="AL29" s="329">
        <f t="shared" si="156"/>
        <v>1.1573720000000001</v>
      </c>
      <c r="AM29" s="329">
        <f t="shared" si="156"/>
        <v>1.1434491600000001</v>
      </c>
      <c r="AN29" s="329">
        <f t="shared" si="156"/>
        <v>1.1295263200000001</v>
      </c>
      <c r="AO29" s="329">
        <f t="shared" si="156"/>
        <v>1.1156034800000001</v>
      </c>
      <c r="AP29" s="329">
        <f t="shared" si="156"/>
        <v>1.1016806400000001</v>
      </c>
      <c r="AQ29" s="331">
        <f t="shared" si="156"/>
        <v>1.0877578000000001</v>
      </c>
      <c r="AR29" s="330">
        <f t="shared" si="159"/>
        <v>1.2858439300000004</v>
      </c>
      <c r="AS29" s="329">
        <f t="shared" si="160"/>
        <v>1.2704818400000004</v>
      </c>
      <c r="AT29" s="329">
        <f t="shared" si="157"/>
        <v>1.2551197500000004</v>
      </c>
      <c r="AU29" s="329">
        <f t="shared" si="157"/>
        <v>1.2397576600000004</v>
      </c>
      <c r="AV29" s="329">
        <f t="shared" si="157"/>
        <v>1.2243955700000004</v>
      </c>
      <c r="AW29" s="329">
        <f t="shared" si="157"/>
        <v>1.2090334800000004</v>
      </c>
      <c r="AX29" s="329">
        <f t="shared" si="157"/>
        <v>1.1936713900000004</v>
      </c>
      <c r="AY29" s="329">
        <f t="shared" si="157"/>
        <v>1.1783093000000004</v>
      </c>
      <c r="AZ29" s="329">
        <f t="shared" si="157"/>
        <v>1.1629472100000005</v>
      </c>
      <c r="BA29" s="329">
        <f t="shared" si="157"/>
        <v>1.1475851200000005</v>
      </c>
      <c r="BB29" s="329">
        <f t="shared" si="157"/>
        <v>1.1322230300000005</v>
      </c>
      <c r="BC29" s="329">
        <f t="shared" si="157"/>
        <v>1.1168609400000005</v>
      </c>
      <c r="BD29" s="329">
        <f t="shared" si="157"/>
        <v>1.1014988500000005</v>
      </c>
      <c r="BE29" s="335"/>
      <c r="BF29" s="288"/>
      <c r="BG29" s="535"/>
      <c r="BH29" s="373">
        <v>2033</v>
      </c>
      <c r="BI29" s="374">
        <v>23</v>
      </c>
      <c r="BJ29" s="433">
        <f t="shared" si="0"/>
        <v>1.6849966666969145</v>
      </c>
      <c r="BK29" s="435">
        <f t="shared" si="14"/>
        <v>0.3418498710866219</v>
      </c>
      <c r="BL29" s="500">
        <f t="shared" si="1"/>
        <v>0.68965138928870084</v>
      </c>
      <c r="BM29" s="500">
        <f t="shared" si="5"/>
        <v>0.68398180576116829</v>
      </c>
      <c r="BN29" s="501">
        <f t="shared" si="11"/>
        <v>0.67831222223363574</v>
      </c>
      <c r="BO29" s="520">
        <f t="shared" si="15"/>
        <v>0.6726426387061033</v>
      </c>
      <c r="BP29" s="520">
        <f t="shared" si="20"/>
        <v>0.66697305517857086</v>
      </c>
      <c r="BQ29" s="520">
        <f t="shared" si="29"/>
        <v>0.66130347165103831</v>
      </c>
      <c r="BR29" s="520">
        <f t="shared" si="37"/>
        <v>0.65563388812350587</v>
      </c>
      <c r="BS29" s="520">
        <f t="shared" si="46"/>
        <v>0.64996430459597332</v>
      </c>
      <c r="BT29" s="520">
        <f t="shared" si="56"/>
        <v>0.64429472106844088</v>
      </c>
      <c r="BU29" s="520">
        <f t="shared" si="67"/>
        <v>0.63862513754090833</v>
      </c>
      <c r="BV29" s="520">
        <f t="shared" si="79"/>
        <v>0.63295555401337589</v>
      </c>
      <c r="BW29" s="520">
        <f t="shared" si="92"/>
        <v>0.62728597048584345</v>
      </c>
      <c r="BX29" s="520">
        <f t="shared" si="106"/>
        <v>0.6216163869583109</v>
      </c>
      <c r="BY29" s="500">
        <f t="shared" si="2"/>
        <v>0.741155528909761</v>
      </c>
      <c r="BZ29" s="501">
        <f t="shared" si="6"/>
        <v>0.71478332916938037</v>
      </c>
      <c r="CA29" s="501">
        <f t="shared" si="12"/>
        <v>0.70676355204962271</v>
      </c>
      <c r="CB29" s="501">
        <f t="shared" si="16"/>
        <v>0.69874377492986484</v>
      </c>
      <c r="CC29" s="501">
        <f t="shared" si="21"/>
        <v>0.69072399781010707</v>
      </c>
      <c r="CD29" s="501">
        <f t="shared" si="30"/>
        <v>0.68270422069034919</v>
      </c>
      <c r="CE29" s="501">
        <f t="shared" si="38"/>
        <v>0.67468444357059143</v>
      </c>
      <c r="CF29" s="501">
        <f t="shared" si="47"/>
        <v>0.66666466645083367</v>
      </c>
      <c r="CG29" s="501">
        <f t="shared" si="57"/>
        <v>0.6586448893310759</v>
      </c>
      <c r="CH29" s="501">
        <f t="shared" si="68"/>
        <v>0.65062511221131814</v>
      </c>
      <c r="CI29" s="501">
        <f t="shared" si="80"/>
        <v>0.64260533509156026</v>
      </c>
      <c r="CJ29" s="501">
        <f t="shared" si="93"/>
        <v>0.63458555797180249</v>
      </c>
      <c r="CK29" s="502">
        <f t="shared" si="107"/>
        <v>0.62656578085204473</v>
      </c>
      <c r="CM29" s="500">
        <f t="shared" si="3"/>
        <v>0.7594725263391906</v>
      </c>
      <c r="CN29" s="501">
        <f t="shared" si="7"/>
        <v>0.75039904157953552</v>
      </c>
      <c r="CO29" s="501">
        <f t="shared" si="13"/>
        <v>0.74132555681988033</v>
      </c>
      <c r="CP29" s="501">
        <f t="shared" si="17"/>
        <v>0.73225207206022525</v>
      </c>
      <c r="CQ29" s="501">
        <f t="shared" si="22"/>
        <v>0.72317858730057016</v>
      </c>
      <c r="CR29" s="501">
        <f t="shared" si="31"/>
        <v>0.71410510254091508</v>
      </c>
      <c r="CS29" s="501">
        <f t="shared" si="39"/>
        <v>0.70503161778126</v>
      </c>
      <c r="CT29" s="501">
        <f t="shared" si="48"/>
        <v>0.69595813302160492</v>
      </c>
      <c r="CU29" s="501">
        <f t="shared" si="58"/>
        <v>0.68688464826194984</v>
      </c>
      <c r="CV29" s="501">
        <f t="shared" si="69"/>
        <v>0.67781116350229476</v>
      </c>
      <c r="CW29" s="501">
        <f t="shared" si="81"/>
        <v>0.66873767874263967</v>
      </c>
      <c r="CX29" s="501">
        <f t="shared" si="94"/>
        <v>0.65966419398298448</v>
      </c>
      <c r="CY29" s="502">
        <f t="shared" si="108"/>
        <v>0.65059070922332951</v>
      </c>
    </row>
    <row r="30" spans="1:103" ht="14.4" x14ac:dyDescent="0.3">
      <c r="A30" s="335"/>
      <c r="B30" s="302" t="str">
        <f t="shared" si="4"/>
        <v>South-WestMotorway</v>
      </c>
      <c r="C30" s="332" t="s">
        <v>193</v>
      </c>
      <c r="D30" s="304" t="s">
        <v>28</v>
      </c>
      <c r="E30" s="360">
        <v>1.0101832099999999</v>
      </c>
      <c r="F30" s="361">
        <v>1.0015003199999999</v>
      </c>
      <c r="G30" s="775">
        <v>1</v>
      </c>
      <c r="H30" s="776">
        <v>1.0132547300000001</v>
      </c>
      <c r="I30" s="777">
        <v>1.0044815200000001</v>
      </c>
      <c r="J30" s="775">
        <v>1</v>
      </c>
      <c r="K30" s="776">
        <v>1.0142145800000002</v>
      </c>
      <c r="L30" s="777">
        <v>1.0064103600000001</v>
      </c>
      <c r="M30" s="779">
        <v>1</v>
      </c>
      <c r="N30" s="367"/>
      <c r="O30" s="335"/>
      <c r="P30" s="313">
        <v>2034</v>
      </c>
      <c r="Q30" s="314">
        <v>22</v>
      </c>
      <c r="R30" s="330">
        <f t="shared" si="158"/>
        <v>1.1687435099999992</v>
      </c>
      <c r="S30" s="329">
        <f t="shared" si="161"/>
        <v>1.1591444799999993</v>
      </c>
      <c r="T30" s="329">
        <f t="shared" si="154"/>
        <v>1.1495454499999993</v>
      </c>
      <c r="U30" s="329">
        <f t="shared" si="154"/>
        <v>1.1399464199999993</v>
      </c>
      <c r="V30" s="329">
        <f t="shared" si="154"/>
        <v>1.1303473899999994</v>
      </c>
      <c r="W30" s="329">
        <f t="shared" si="154"/>
        <v>1.1207483599999994</v>
      </c>
      <c r="X30" s="329">
        <f t="shared" si="154"/>
        <v>1.1111493299999995</v>
      </c>
      <c r="Y30" s="329">
        <f t="shared" si="154"/>
        <v>1.1015502999999995</v>
      </c>
      <c r="Z30" s="329">
        <f t="shared" si="154"/>
        <v>1.0919512699999996</v>
      </c>
      <c r="AA30" s="329">
        <f t="shared" si="154"/>
        <v>1.0823522399999996</v>
      </c>
      <c r="AB30" s="329">
        <f t="shared" si="154"/>
        <v>1.0727532099999997</v>
      </c>
      <c r="AC30" s="329">
        <f t="shared" si="154"/>
        <v>1.0631541799999997</v>
      </c>
      <c r="AD30" s="329">
        <f t="shared" si="162"/>
        <v>1.0535551499999998</v>
      </c>
      <c r="AE30" s="330">
        <f t="shared" si="163"/>
        <v>1.25936778</v>
      </c>
      <c r="AF30" s="329">
        <f t="shared" si="163"/>
        <v>1.2454449400000001</v>
      </c>
      <c r="AG30" s="329">
        <f t="shared" si="163"/>
        <v>1.2315221000000001</v>
      </c>
      <c r="AH30" s="329">
        <f t="shared" si="163"/>
        <v>1.2175992600000001</v>
      </c>
      <c r="AI30" s="329">
        <f t="shared" si="156"/>
        <v>1.2036764200000001</v>
      </c>
      <c r="AJ30" s="329">
        <f t="shared" si="156"/>
        <v>1.1897535800000001</v>
      </c>
      <c r="AK30" s="329">
        <f t="shared" si="156"/>
        <v>1.1758307400000001</v>
      </c>
      <c r="AL30" s="329">
        <f t="shared" si="156"/>
        <v>1.1619079000000001</v>
      </c>
      <c r="AM30" s="329">
        <f t="shared" si="156"/>
        <v>1.1479850600000001</v>
      </c>
      <c r="AN30" s="329">
        <f t="shared" si="156"/>
        <v>1.1340622200000001</v>
      </c>
      <c r="AO30" s="329">
        <f t="shared" si="156"/>
        <v>1.1201393800000001</v>
      </c>
      <c r="AP30" s="329">
        <f t="shared" si="156"/>
        <v>1.1062165400000001</v>
      </c>
      <c r="AQ30" s="331">
        <f t="shared" si="156"/>
        <v>1.0922937000000001</v>
      </c>
      <c r="AR30" s="330">
        <f t="shared" si="159"/>
        <v>1.2920160300000005</v>
      </c>
      <c r="AS30" s="329">
        <f t="shared" si="160"/>
        <v>1.2766539400000005</v>
      </c>
      <c r="AT30" s="329">
        <f t="shared" si="157"/>
        <v>1.2612918500000005</v>
      </c>
      <c r="AU30" s="329">
        <f t="shared" si="157"/>
        <v>1.2459297600000006</v>
      </c>
      <c r="AV30" s="329">
        <f t="shared" si="157"/>
        <v>1.2305676700000006</v>
      </c>
      <c r="AW30" s="329">
        <f t="shared" si="157"/>
        <v>1.2152055800000006</v>
      </c>
      <c r="AX30" s="329">
        <f t="shared" si="157"/>
        <v>1.1998434900000006</v>
      </c>
      <c r="AY30" s="329">
        <f t="shared" si="157"/>
        <v>1.1844814000000006</v>
      </c>
      <c r="AZ30" s="329">
        <f t="shared" si="157"/>
        <v>1.1691193100000006</v>
      </c>
      <c r="BA30" s="329">
        <f t="shared" si="157"/>
        <v>1.1537572200000006</v>
      </c>
      <c r="BB30" s="329">
        <f t="shared" si="157"/>
        <v>1.1383951300000006</v>
      </c>
      <c r="BC30" s="329">
        <f t="shared" si="157"/>
        <v>1.1230330400000006</v>
      </c>
      <c r="BD30" s="329">
        <f t="shared" si="157"/>
        <v>1.1076709500000006</v>
      </c>
      <c r="BE30" s="335"/>
      <c r="BF30" s="288"/>
      <c r="BG30" s="535"/>
      <c r="BH30" s="373">
        <v>2034</v>
      </c>
      <c r="BI30" s="374">
        <v>24</v>
      </c>
      <c r="BJ30" s="433">
        <f t="shared" si="0"/>
        <v>1.7254365866976409</v>
      </c>
      <c r="BK30" s="435">
        <f t="shared" si="14"/>
        <v>0.32557130579678267</v>
      </c>
      <c r="BL30" s="500">
        <f t="shared" si="1"/>
        <v>0.67321483694155904</v>
      </c>
      <c r="BM30" s="500">
        <f t="shared" si="5"/>
        <v>0.6676856431013749</v>
      </c>
      <c r="BN30" s="501">
        <f t="shared" si="11"/>
        <v>0.66215644926119088</v>
      </c>
      <c r="BO30" s="520">
        <f t="shared" si="15"/>
        <v>0.65662725542100675</v>
      </c>
      <c r="BP30" s="520">
        <f t="shared" si="20"/>
        <v>0.65109806158082273</v>
      </c>
      <c r="BQ30" s="520">
        <f t="shared" si="29"/>
        <v>0.64556886774063871</v>
      </c>
      <c r="BR30" s="520">
        <f t="shared" si="37"/>
        <v>0.64003967390045458</v>
      </c>
      <c r="BS30" s="520">
        <f t="shared" si="46"/>
        <v>0.63451048006027055</v>
      </c>
      <c r="BT30" s="520">
        <f t="shared" si="56"/>
        <v>0.62898128622008642</v>
      </c>
      <c r="BU30" s="520">
        <f t="shared" si="67"/>
        <v>0.6234520923799024</v>
      </c>
      <c r="BV30" s="520">
        <f t="shared" si="79"/>
        <v>0.61792289853971838</v>
      </c>
      <c r="BW30" s="520">
        <f t="shared" si="92"/>
        <v>0.61239370469953425</v>
      </c>
      <c r="BX30" s="520">
        <f t="shared" si="106"/>
        <v>0.60686451085935023</v>
      </c>
      <c r="BY30" s="500">
        <f t="shared" si="2"/>
        <v>0.72541585677952014</v>
      </c>
      <c r="BZ30" s="501">
        <f t="shared" si="6"/>
        <v>0.69963198625866352</v>
      </c>
      <c r="CA30" s="501">
        <f t="shared" si="12"/>
        <v>0.69181079409615687</v>
      </c>
      <c r="CB30" s="501">
        <f t="shared" si="16"/>
        <v>0.68398960193365022</v>
      </c>
      <c r="CC30" s="501">
        <f t="shared" si="21"/>
        <v>0.67616840977114356</v>
      </c>
      <c r="CD30" s="501">
        <f t="shared" si="30"/>
        <v>0.66834721760863691</v>
      </c>
      <c r="CE30" s="501">
        <f t="shared" si="38"/>
        <v>0.66052602544613026</v>
      </c>
      <c r="CF30" s="501">
        <f t="shared" si="47"/>
        <v>0.65270483328362372</v>
      </c>
      <c r="CG30" s="501">
        <f t="shared" si="57"/>
        <v>0.64488364112111696</v>
      </c>
      <c r="CH30" s="501">
        <f t="shared" si="68"/>
        <v>0.63706244895861031</v>
      </c>
      <c r="CI30" s="501">
        <f t="shared" si="80"/>
        <v>0.62924125679610365</v>
      </c>
      <c r="CJ30" s="501">
        <f t="shared" si="93"/>
        <v>0.621420064633597</v>
      </c>
      <c r="CK30" s="502">
        <f t="shared" si="107"/>
        <v>0.61359887247109035</v>
      </c>
      <c r="CM30" s="500">
        <f t="shared" si="3"/>
        <v>0.74422176766768211</v>
      </c>
      <c r="CN30" s="501">
        <f t="shared" si="7"/>
        <v>0.73537295967350425</v>
      </c>
      <c r="CO30" s="501">
        <f t="shared" si="13"/>
        <v>0.72652415167932638</v>
      </c>
      <c r="CP30" s="501">
        <f t="shared" si="17"/>
        <v>0.71767534368514829</v>
      </c>
      <c r="CQ30" s="501">
        <f t="shared" si="22"/>
        <v>0.70882653569097043</v>
      </c>
      <c r="CR30" s="501">
        <f t="shared" si="31"/>
        <v>0.69997772769679256</v>
      </c>
      <c r="CS30" s="501">
        <f t="shared" si="39"/>
        <v>0.69112891970261459</v>
      </c>
      <c r="CT30" s="501">
        <f t="shared" si="48"/>
        <v>0.68228011170843672</v>
      </c>
      <c r="CU30" s="501">
        <f t="shared" si="58"/>
        <v>0.67343130371425886</v>
      </c>
      <c r="CV30" s="501">
        <f t="shared" si="69"/>
        <v>0.66458249572008088</v>
      </c>
      <c r="CW30" s="501">
        <f t="shared" si="81"/>
        <v>0.6557336877259029</v>
      </c>
      <c r="CX30" s="501">
        <f t="shared" si="94"/>
        <v>0.64688487973172504</v>
      </c>
      <c r="CY30" s="502">
        <f t="shared" si="108"/>
        <v>0.63803607173754717</v>
      </c>
    </row>
    <row r="31" spans="1:103" ht="14.4" x14ac:dyDescent="0.3">
      <c r="A31" s="335"/>
      <c r="B31" s="302" t="str">
        <f t="shared" si="4"/>
        <v>South-WestNational Primary</v>
      </c>
      <c r="C31" s="312" t="s">
        <v>193</v>
      </c>
      <c r="D31" s="304" t="s">
        <v>210</v>
      </c>
      <c r="E31" s="360">
        <v>1.00781436</v>
      </c>
      <c r="F31" s="361">
        <v>0.99913947000000003</v>
      </c>
      <c r="G31" s="775">
        <v>1</v>
      </c>
      <c r="H31" s="776">
        <v>1.01091708</v>
      </c>
      <c r="I31" s="777">
        <v>1.00209372</v>
      </c>
      <c r="J31" s="775">
        <v>1</v>
      </c>
      <c r="K31" s="776">
        <v>1.0118866800000001</v>
      </c>
      <c r="L31" s="777">
        <v>1.0040117100000001</v>
      </c>
      <c r="M31" s="779">
        <v>1</v>
      </c>
      <c r="N31" s="367"/>
      <c r="O31" s="335"/>
      <c r="P31" s="313">
        <v>2035</v>
      </c>
      <c r="Q31" s="314">
        <v>23</v>
      </c>
      <c r="R31" s="330">
        <f t="shared" si="158"/>
        <v>1.1698555099999992</v>
      </c>
      <c r="S31" s="329">
        <f t="shared" si="161"/>
        <v>1.1602564799999993</v>
      </c>
      <c r="T31" s="329">
        <f t="shared" si="154"/>
        <v>1.1506574499999993</v>
      </c>
      <c r="U31" s="329">
        <f t="shared" si="154"/>
        <v>1.1410584199999994</v>
      </c>
      <c r="V31" s="329">
        <f t="shared" si="154"/>
        <v>1.1314593899999994</v>
      </c>
      <c r="W31" s="329">
        <f t="shared" si="154"/>
        <v>1.1218603599999994</v>
      </c>
      <c r="X31" s="329">
        <f t="shared" si="154"/>
        <v>1.1122613299999995</v>
      </c>
      <c r="Y31" s="329">
        <f t="shared" si="154"/>
        <v>1.1026622999999995</v>
      </c>
      <c r="Z31" s="329">
        <f t="shared" si="154"/>
        <v>1.0930632699999996</v>
      </c>
      <c r="AA31" s="329">
        <f t="shared" si="154"/>
        <v>1.0834642399999996</v>
      </c>
      <c r="AB31" s="329">
        <f t="shared" si="154"/>
        <v>1.0738652099999997</v>
      </c>
      <c r="AC31" s="329">
        <f t="shared" si="154"/>
        <v>1.0642661799999997</v>
      </c>
      <c r="AD31" s="329">
        <f t="shared" si="162"/>
        <v>1.0546671499999998</v>
      </c>
      <c r="AE31" s="330">
        <f t="shared" si="163"/>
        <v>1.2639036800000001</v>
      </c>
      <c r="AF31" s="329">
        <f t="shared" si="163"/>
        <v>1.2499808400000001</v>
      </c>
      <c r="AG31" s="329">
        <f t="shared" si="163"/>
        <v>1.2360580000000001</v>
      </c>
      <c r="AH31" s="329">
        <f t="shared" si="163"/>
        <v>1.2221351600000001</v>
      </c>
      <c r="AI31" s="329">
        <f t="shared" si="156"/>
        <v>1.2082123200000001</v>
      </c>
      <c r="AJ31" s="329">
        <f t="shared" si="156"/>
        <v>1.1942894800000001</v>
      </c>
      <c r="AK31" s="329">
        <f t="shared" si="156"/>
        <v>1.1803666400000001</v>
      </c>
      <c r="AL31" s="329">
        <f t="shared" si="156"/>
        <v>1.1664438000000001</v>
      </c>
      <c r="AM31" s="329">
        <f t="shared" si="156"/>
        <v>1.1525209600000001</v>
      </c>
      <c r="AN31" s="329">
        <f t="shared" si="156"/>
        <v>1.1385981200000002</v>
      </c>
      <c r="AO31" s="329">
        <f t="shared" si="156"/>
        <v>1.1246752800000002</v>
      </c>
      <c r="AP31" s="329">
        <f t="shared" si="156"/>
        <v>1.1107524400000002</v>
      </c>
      <c r="AQ31" s="331">
        <f t="shared" si="156"/>
        <v>1.0968296000000002</v>
      </c>
      <c r="AR31" s="330">
        <f t="shared" si="159"/>
        <v>1.2981881300000007</v>
      </c>
      <c r="AS31" s="329">
        <f t="shared" si="160"/>
        <v>1.2828260400000007</v>
      </c>
      <c r="AT31" s="329">
        <f t="shared" si="157"/>
        <v>1.2674639500000007</v>
      </c>
      <c r="AU31" s="329">
        <f t="shared" si="157"/>
        <v>1.2521018600000007</v>
      </c>
      <c r="AV31" s="329">
        <f t="shared" si="157"/>
        <v>1.2367397700000007</v>
      </c>
      <c r="AW31" s="329">
        <f t="shared" si="157"/>
        <v>1.2213776800000007</v>
      </c>
      <c r="AX31" s="329">
        <f t="shared" si="157"/>
        <v>1.2060155900000007</v>
      </c>
      <c r="AY31" s="329">
        <f t="shared" si="157"/>
        <v>1.1906535000000007</v>
      </c>
      <c r="AZ31" s="329">
        <f t="shared" si="157"/>
        <v>1.1752914100000007</v>
      </c>
      <c r="BA31" s="329">
        <f t="shared" si="157"/>
        <v>1.1599293200000007</v>
      </c>
      <c r="BB31" s="329">
        <f t="shared" si="157"/>
        <v>1.1445672300000007</v>
      </c>
      <c r="BC31" s="329">
        <f t="shared" si="157"/>
        <v>1.1292051400000007</v>
      </c>
      <c r="BD31" s="329">
        <f t="shared" si="157"/>
        <v>1.1138430500000007</v>
      </c>
      <c r="BE31" s="422"/>
      <c r="BF31" s="288"/>
      <c r="BG31" s="535"/>
      <c r="BH31" s="373">
        <v>2035</v>
      </c>
      <c r="BI31" s="374">
        <v>25</v>
      </c>
      <c r="BJ31" s="433">
        <f t="shared" si="0"/>
        <v>1.7668470647783838</v>
      </c>
      <c r="BK31" s="435">
        <f t="shared" si="14"/>
        <v>0.31006791028265024</v>
      </c>
      <c r="BL31" s="500">
        <f t="shared" si="1"/>
        <v>0.65716942420348279</v>
      </c>
      <c r="BM31" s="500">
        <f t="shared" si="5"/>
        <v>0.65177714373457962</v>
      </c>
      <c r="BN31" s="501">
        <f t="shared" si="11"/>
        <v>0.64638486326567612</v>
      </c>
      <c r="BO31" s="520">
        <f t="shared" si="15"/>
        <v>0.64099258279677285</v>
      </c>
      <c r="BP31" s="520">
        <f t="shared" si="20"/>
        <v>0.63560030232786957</v>
      </c>
      <c r="BQ31" s="520">
        <f t="shared" si="29"/>
        <v>0.63020802185896618</v>
      </c>
      <c r="BR31" s="520">
        <f t="shared" si="37"/>
        <v>0.62481574139006291</v>
      </c>
      <c r="BS31" s="520">
        <f t="shared" si="46"/>
        <v>0.61942346092115952</v>
      </c>
      <c r="BT31" s="520">
        <f t="shared" si="56"/>
        <v>0.61403118045225624</v>
      </c>
      <c r="BU31" s="520">
        <f t="shared" si="67"/>
        <v>0.60863889998335297</v>
      </c>
      <c r="BV31" s="520">
        <f t="shared" si="79"/>
        <v>0.60324661951444969</v>
      </c>
      <c r="BW31" s="520">
        <f t="shared" si="92"/>
        <v>0.5978543390455463</v>
      </c>
      <c r="BX31" s="520">
        <f t="shared" si="106"/>
        <v>0.59246205857664302</v>
      </c>
      <c r="BY31" s="500">
        <f t="shared" si="2"/>
        <v>0.7100012322327427</v>
      </c>
      <c r="BZ31" s="501">
        <f t="shared" si="6"/>
        <v>0.68479272479230624</v>
      </c>
      <c r="CA31" s="501">
        <f t="shared" si="12"/>
        <v>0.67716520024525217</v>
      </c>
      <c r="CB31" s="501">
        <f t="shared" si="16"/>
        <v>0.66953767569819811</v>
      </c>
      <c r="CC31" s="501">
        <f t="shared" si="21"/>
        <v>0.66191015115114404</v>
      </c>
      <c r="CD31" s="501">
        <f t="shared" si="30"/>
        <v>0.65428262660408987</v>
      </c>
      <c r="CE31" s="501">
        <f t="shared" si="38"/>
        <v>0.6466551020570358</v>
      </c>
      <c r="CF31" s="501">
        <f t="shared" si="47"/>
        <v>0.63902757750998174</v>
      </c>
      <c r="CG31" s="501">
        <f t="shared" si="57"/>
        <v>0.63140005296292756</v>
      </c>
      <c r="CH31" s="501">
        <f t="shared" si="68"/>
        <v>0.6237725284158735</v>
      </c>
      <c r="CI31" s="501">
        <f t="shared" si="80"/>
        <v>0.61614500386881943</v>
      </c>
      <c r="CJ31" s="501">
        <f t="shared" si="93"/>
        <v>0.60851747932176536</v>
      </c>
      <c r="CK31" s="502">
        <f t="shared" si="107"/>
        <v>0.60088995477471119</v>
      </c>
      <c r="CM31" s="500">
        <f t="shared" si="3"/>
        <v>0.72926061262035435</v>
      </c>
      <c r="CN31" s="501">
        <f t="shared" si="7"/>
        <v>0.72063091796698464</v>
      </c>
      <c r="CO31" s="501">
        <f t="shared" si="13"/>
        <v>0.71200122331361493</v>
      </c>
      <c r="CP31" s="501">
        <f t="shared" si="17"/>
        <v>0.70337152866024522</v>
      </c>
      <c r="CQ31" s="501">
        <f t="shared" si="22"/>
        <v>0.6947418340068755</v>
      </c>
      <c r="CR31" s="501">
        <f t="shared" si="31"/>
        <v>0.6861121393535059</v>
      </c>
      <c r="CS31" s="501">
        <f t="shared" si="39"/>
        <v>0.67748244470013619</v>
      </c>
      <c r="CT31" s="501">
        <f t="shared" si="48"/>
        <v>0.66885275004676648</v>
      </c>
      <c r="CU31" s="501">
        <f t="shared" si="58"/>
        <v>0.66022305539339676</v>
      </c>
      <c r="CV31" s="501">
        <f t="shared" si="69"/>
        <v>0.65159336074002705</v>
      </c>
      <c r="CW31" s="501">
        <f t="shared" si="81"/>
        <v>0.64296366608665734</v>
      </c>
      <c r="CX31" s="501">
        <f t="shared" si="94"/>
        <v>0.63433397143328762</v>
      </c>
      <c r="CY31" s="502">
        <f t="shared" si="108"/>
        <v>0.62570427677991802</v>
      </c>
    </row>
    <row r="32" spans="1:103" ht="15" thickBot="1" x14ac:dyDescent="0.35">
      <c r="A32" s="335"/>
      <c r="B32" s="302" t="str">
        <f t="shared" si="4"/>
        <v>South-WestNational Secondary</v>
      </c>
      <c r="C32" s="333" t="s">
        <v>193</v>
      </c>
      <c r="D32" s="334" t="s">
        <v>211</v>
      </c>
      <c r="E32" s="364">
        <v>1.0077841599999999</v>
      </c>
      <c r="F32" s="365">
        <v>0.99910846999999992</v>
      </c>
      <c r="G32" s="788">
        <v>1</v>
      </c>
      <c r="H32" s="789">
        <v>1.01089008</v>
      </c>
      <c r="I32" s="790">
        <v>1.0020609200000001</v>
      </c>
      <c r="J32" s="788">
        <v>1</v>
      </c>
      <c r="K32" s="789">
        <v>1.0118606800000001</v>
      </c>
      <c r="L32" s="790">
        <v>1.0039783100000002</v>
      </c>
      <c r="M32" s="791">
        <v>1</v>
      </c>
      <c r="N32" s="367"/>
      <c r="O32" s="335"/>
      <c r="P32" s="313">
        <v>2036</v>
      </c>
      <c r="Q32" s="314">
        <v>24</v>
      </c>
      <c r="R32" s="330">
        <f t="shared" si="158"/>
        <v>1.1709675099999992</v>
      </c>
      <c r="S32" s="329">
        <f t="shared" si="161"/>
        <v>1.1613684799999993</v>
      </c>
      <c r="T32" s="329">
        <f t="shared" si="154"/>
        <v>1.1517694499999993</v>
      </c>
      <c r="U32" s="329">
        <f t="shared" si="154"/>
        <v>1.1421704199999994</v>
      </c>
      <c r="V32" s="329">
        <f t="shared" si="154"/>
        <v>1.1325713899999994</v>
      </c>
      <c r="W32" s="329">
        <f t="shared" si="154"/>
        <v>1.1229723599999994</v>
      </c>
      <c r="X32" s="329">
        <f t="shared" si="154"/>
        <v>1.1133733299999995</v>
      </c>
      <c r="Y32" s="329">
        <f t="shared" si="154"/>
        <v>1.1037742999999995</v>
      </c>
      <c r="Z32" s="329">
        <f t="shared" si="154"/>
        <v>1.0941752699999996</v>
      </c>
      <c r="AA32" s="329">
        <f t="shared" si="154"/>
        <v>1.0845762399999996</v>
      </c>
      <c r="AB32" s="329">
        <f t="shared" si="154"/>
        <v>1.0749772099999997</v>
      </c>
      <c r="AC32" s="329">
        <f t="shared" si="154"/>
        <v>1.0653781799999997</v>
      </c>
      <c r="AD32" s="329">
        <f t="shared" si="162"/>
        <v>1.0557791499999998</v>
      </c>
      <c r="AE32" s="330">
        <f t="shared" si="163"/>
        <v>1.2684395800000001</v>
      </c>
      <c r="AF32" s="329">
        <f t="shared" si="163"/>
        <v>1.2545167400000001</v>
      </c>
      <c r="AG32" s="329">
        <f t="shared" si="163"/>
        <v>1.2405939000000001</v>
      </c>
      <c r="AH32" s="329">
        <f t="shared" si="163"/>
        <v>1.2266710600000001</v>
      </c>
      <c r="AI32" s="329">
        <f t="shared" si="156"/>
        <v>1.2127482200000002</v>
      </c>
      <c r="AJ32" s="329">
        <f t="shared" si="156"/>
        <v>1.1988253800000002</v>
      </c>
      <c r="AK32" s="329">
        <f t="shared" si="156"/>
        <v>1.1849025400000002</v>
      </c>
      <c r="AL32" s="329">
        <f t="shared" si="156"/>
        <v>1.1709797000000002</v>
      </c>
      <c r="AM32" s="329">
        <f t="shared" si="156"/>
        <v>1.1570568600000002</v>
      </c>
      <c r="AN32" s="329">
        <f t="shared" si="156"/>
        <v>1.1431340200000002</v>
      </c>
      <c r="AO32" s="329">
        <f t="shared" si="156"/>
        <v>1.1292111800000002</v>
      </c>
      <c r="AP32" s="329">
        <f t="shared" si="156"/>
        <v>1.1152883400000002</v>
      </c>
      <c r="AQ32" s="331">
        <f t="shared" si="156"/>
        <v>1.1013655000000002</v>
      </c>
      <c r="AR32" s="330">
        <f t="shared" si="159"/>
        <v>1.3043602300000008</v>
      </c>
      <c r="AS32" s="329">
        <f t="shared" si="160"/>
        <v>1.2889981400000008</v>
      </c>
      <c r="AT32" s="329">
        <f t="shared" si="157"/>
        <v>1.2736360500000008</v>
      </c>
      <c r="AU32" s="329">
        <f t="shared" si="157"/>
        <v>1.2582739600000008</v>
      </c>
      <c r="AV32" s="329">
        <f t="shared" si="157"/>
        <v>1.2429118700000008</v>
      </c>
      <c r="AW32" s="329">
        <f t="shared" si="157"/>
        <v>1.2275497800000008</v>
      </c>
      <c r="AX32" s="329">
        <f t="shared" si="157"/>
        <v>1.2121876900000008</v>
      </c>
      <c r="AY32" s="329">
        <f t="shared" si="157"/>
        <v>1.1968256000000008</v>
      </c>
      <c r="AZ32" s="329">
        <f t="shared" si="157"/>
        <v>1.1814635100000008</v>
      </c>
      <c r="BA32" s="329">
        <f t="shared" si="157"/>
        <v>1.1661014200000008</v>
      </c>
      <c r="BB32" s="329">
        <f t="shared" si="157"/>
        <v>1.1507393300000008</v>
      </c>
      <c r="BC32" s="329">
        <f t="shared" si="157"/>
        <v>1.1353772400000008</v>
      </c>
      <c r="BD32" s="329">
        <f t="shared" si="157"/>
        <v>1.1200151500000008</v>
      </c>
      <c r="BE32" s="423"/>
      <c r="BF32" s="288"/>
      <c r="BG32" s="535"/>
      <c r="BH32" s="373">
        <v>2036</v>
      </c>
      <c r="BI32" s="374">
        <v>26</v>
      </c>
      <c r="BJ32" s="433">
        <f t="shared" si="0"/>
        <v>1.809251394333065</v>
      </c>
      <c r="BK32" s="435">
        <f t="shared" si="14"/>
        <v>0.29530277169776209</v>
      </c>
      <c r="BL32" s="500">
        <f t="shared" si="1"/>
        <v>0.64150585845472774</v>
      </c>
      <c r="BM32" s="500">
        <f t="shared" si="5"/>
        <v>0.63624710112124483</v>
      </c>
      <c r="BN32" s="501">
        <f t="shared" si="11"/>
        <v>0.63098834378776192</v>
      </c>
      <c r="BO32" s="520">
        <f t="shared" si="15"/>
        <v>0.62572958645427923</v>
      </c>
      <c r="BP32" s="520">
        <f t="shared" si="20"/>
        <v>0.62047082912079632</v>
      </c>
      <c r="BQ32" s="520">
        <f t="shared" si="29"/>
        <v>0.61521207178731341</v>
      </c>
      <c r="BR32" s="520">
        <f t="shared" si="37"/>
        <v>0.60995331445383061</v>
      </c>
      <c r="BS32" s="520">
        <f t="shared" si="46"/>
        <v>0.6046945571203477</v>
      </c>
      <c r="BT32" s="520">
        <f t="shared" si="56"/>
        <v>0.5994357997868649</v>
      </c>
      <c r="BU32" s="520">
        <f t="shared" si="67"/>
        <v>0.59417704245338199</v>
      </c>
      <c r="BV32" s="520">
        <f t="shared" si="79"/>
        <v>0.58891828511989919</v>
      </c>
      <c r="BW32" s="520">
        <f t="shared" si="92"/>
        <v>0.58365952778641628</v>
      </c>
      <c r="BX32" s="520">
        <f t="shared" si="106"/>
        <v>0.57840077045293348</v>
      </c>
      <c r="BY32" s="500">
        <f t="shared" si="2"/>
        <v>0.69490520848512261</v>
      </c>
      <c r="BZ32" s="501">
        <f t="shared" si="6"/>
        <v>0.6702593793834114</v>
      </c>
      <c r="CA32" s="501">
        <f t="shared" si="12"/>
        <v>0.66282072687276061</v>
      </c>
      <c r="CB32" s="501">
        <f t="shared" si="16"/>
        <v>0.65538207436210971</v>
      </c>
      <c r="CC32" s="501">
        <f t="shared" si="21"/>
        <v>0.64794342185145881</v>
      </c>
      <c r="CD32" s="501">
        <f t="shared" si="30"/>
        <v>0.64050476934080802</v>
      </c>
      <c r="CE32" s="501">
        <f t="shared" si="38"/>
        <v>0.63306611683015712</v>
      </c>
      <c r="CF32" s="501">
        <f t="shared" si="47"/>
        <v>0.62562746431950633</v>
      </c>
      <c r="CG32" s="501">
        <f t="shared" si="57"/>
        <v>0.61818881180885543</v>
      </c>
      <c r="CH32" s="501">
        <f t="shared" si="68"/>
        <v>0.61075015929820453</v>
      </c>
      <c r="CI32" s="501">
        <f t="shared" si="80"/>
        <v>0.60331150678755374</v>
      </c>
      <c r="CJ32" s="501">
        <f t="shared" si="93"/>
        <v>0.59587285427690284</v>
      </c>
      <c r="CK32" s="502">
        <f t="shared" si="107"/>
        <v>0.58843420176625205</v>
      </c>
      <c r="CM32" s="500">
        <f t="shared" si="3"/>
        <v>0.71458406995456014</v>
      </c>
      <c r="CN32" s="501">
        <f t="shared" si="7"/>
        <v>0.70616806297832158</v>
      </c>
      <c r="CO32" s="501">
        <f t="shared" si="13"/>
        <v>0.69775205600208279</v>
      </c>
      <c r="CP32" s="501">
        <f t="shared" si="17"/>
        <v>0.68933604902584422</v>
      </c>
      <c r="CQ32" s="501">
        <f t="shared" si="22"/>
        <v>0.68092004204960566</v>
      </c>
      <c r="CR32" s="501">
        <f t="shared" si="31"/>
        <v>0.67250403507336687</v>
      </c>
      <c r="CS32" s="501">
        <f t="shared" si="39"/>
        <v>0.6640880280971283</v>
      </c>
      <c r="CT32" s="501">
        <f t="shared" si="48"/>
        <v>0.65567202112088974</v>
      </c>
      <c r="CU32" s="501">
        <f t="shared" si="58"/>
        <v>0.64725601414465106</v>
      </c>
      <c r="CV32" s="501">
        <f t="shared" si="69"/>
        <v>0.63884000716841238</v>
      </c>
      <c r="CW32" s="501">
        <f t="shared" si="81"/>
        <v>0.63042400019217382</v>
      </c>
      <c r="CX32" s="501">
        <f t="shared" si="94"/>
        <v>0.62200799321593514</v>
      </c>
      <c r="CY32" s="502">
        <f t="shared" si="108"/>
        <v>0.61359198623969646</v>
      </c>
    </row>
    <row r="33" spans="1:103" ht="28.8" customHeight="1" x14ac:dyDescent="0.3">
      <c r="A33" s="335"/>
      <c r="B33" s="335"/>
      <c r="C33" s="774"/>
      <c r="D33" s="774"/>
      <c r="E33" s="774"/>
      <c r="F33" s="774"/>
      <c r="G33" s="774"/>
      <c r="H33" s="774"/>
      <c r="I33" s="774"/>
      <c r="J33" s="774"/>
      <c r="K33" s="774"/>
      <c r="L33" s="774"/>
      <c r="M33" s="774"/>
      <c r="N33" s="335"/>
      <c r="O33" s="335"/>
      <c r="P33" s="313">
        <v>2037</v>
      </c>
      <c r="Q33" s="314">
        <v>25</v>
      </c>
      <c r="R33" s="330">
        <f t="shared" si="158"/>
        <v>1.1720795099999992</v>
      </c>
      <c r="S33" s="329">
        <f t="shared" si="161"/>
        <v>1.1624804799999993</v>
      </c>
      <c r="T33" s="329">
        <f t="shared" si="154"/>
        <v>1.1528814499999993</v>
      </c>
      <c r="U33" s="329">
        <f t="shared" si="154"/>
        <v>1.1432824199999994</v>
      </c>
      <c r="V33" s="329">
        <f t="shared" si="154"/>
        <v>1.1336833899999994</v>
      </c>
      <c r="W33" s="329">
        <f t="shared" si="154"/>
        <v>1.1240843599999994</v>
      </c>
      <c r="X33" s="329">
        <f t="shared" si="154"/>
        <v>1.1144853299999995</v>
      </c>
      <c r="Y33" s="329">
        <f t="shared" si="154"/>
        <v>1.1048862999999995</v>
      </c>
      <c r="Z33" s="329">
        <f t="shared" si="154"/>
        <v>1.0952872699999996</v>
      </c>
      <c r="AA33" s="329">
        <f t="shared" si="154"/>
        <v>1.0856882399999996</v>
      </c>
      <c r="AB33" s="329">
        <f t="shared" si="154"/>
        <v>1.0760892099999997</v>
      </c>
      <c r="AC33" s="329">
        <f t="shared" si="154"/>
        <v>1.0664901799999997</v>
      </c>
      <c r="AD33" s="329">
        <f t="shared" si="162"/>
        <v>1.0568911499999998</v>
      </c>
      <c r="AE33" s="330">
        <f t="shared" si="163"/>
        <v>1.2729754800000002</v>
      </c>
      <c r="AF33" s="329">
        <f t="shared" si="163"/>
        <v>1.2590526400000002</v>
      </c>
      <c r="AG33" s="329">
        <f t="shared" si="163"/>
        <v>1.2451298000000002</v>
      </c>
      <c r="AH33" s="329">
        <f t="shared" si="163"/>
        <v>1.2312069600000002</v>
      </c>
      <c r="AI33" s="329">
        <f t="shared" si="156"/>
        <v>1.2172841200000002</v>
      </c>
      <c r="AJ33" s="329">
        <f t="shared" si="156"/>
        <v>1.2033612800000002</v>
      </c>
      <c r="AK33" s="329">
        <f t="shared" si="156"/>
        <v>1.1894384400000002</v>
      </c>
      <c r="AL33" s="329">
        <f t="shared" si="156"/>
        <v>1.1755156000000002</v>
      </c>
      <c r="AM33" s="329">
        <f t="shared" si="156"/>
        <v>1.1615927600000002</v>
      </c>
      <c r="AN33" s="329">
        <f t="shared" si="156"/>
        <v>1.1476699200000002</v>
      </c>
      <c r="AO33" s="329">
        <f t="shared" si="156"/>
        <v>1.1337470800000002</v>
      </c>
      <c r="AP33" s="329">
        <f t="shared" si="156"/>
        <v>1.1198242400000002</v>
      </c>
      <c r="AQ33" s="331">
        <f t="shared" si="156"/>
        <v>1.1059014000000003</v>
      </c>
      <c r="AR33" s="330">
        <f t="shared" si="159"/>
        <v>1.3105323300000009</v>
      </c>
      <c r="AS33" s="329">
        <f t="shared" si="160"/>
        <v>1.2951702400000009</v>
      </c>
      <c r="AT33" s="329">
        <f t="shared" si="157"/>
        <v>1.2798081500000009</v>
      </c>
      <c r="AU33" s="329">
        <f t="shared" si="157"/>
        <v>1.2644460600000009</v>
      </c>
      <c r="AV33" s="329">
        <f t="shared" si="157"/>
        <v>1.2490839700000009</v>
      </c>
      <c r="AW33" s="329">
        <f t="shared" si="157"/>
        <v>1.2337218800000009</v>
      </c>
      <c r="AX33" s="329">
        <f t="shared" si="157"/>
        <v>1.2183597900000009</v>
      </c>
      <c r="AY33" s="329">
        <f t="shared" si="157"/>
        <v>1.2029977000000009</v>
      </c>
      <c r="AZ33" s="329">
        <f t="shared" si="157"/>
        <v>1.187635610000001</v>
      </c>
      <c r="BA33" s="329">
        <f t="shared" si="157"/>
        <v>1.172273520000001</v>
      </c>
      <c r="BB33" s="329">
        <f t="shared" si="157"/>
        <v>1.156911430000001</v>
      </c>
      <c r="BC33" s="329">
        <f t="shared" si="157"/>
        <v>1.141549340000001</v>
      </c>
      <c r="BD33" s="329">
        <f t="shared" si="157"/>
        <v>1.126187250000001</v>
      </c>
      <c r="BE33" s="335"/>
      <c r="BF33" s="335"/>
      <c r="BG33" s="535"/>
      <c r="BH33" s="373">
        <v>2037</v>
      </c>
      <c r="BI33" s="374">
        <v>27</v>
      </c>
      <c r="BJ33" s="433">
        <f t="shared" si="0"/>
        <v>1.8526734277970587</v>
      </c>
      <c r="BK33" s="434">
        <f t="shared" si="14"/>
        <v>0.28124073495024959</v>
      </c>
      <c r="BL33" s="500">
        <f t="shared" si="1"/>
        <v>0.62621506745347411</v>
      </c>
      <c r="BM33" s="500">
        <f t="shared" si="5"/>
        <v>0.62108652696824895</v>
      </c>
      <c r="BN33" s="501">
        <f t="shared" si="11"/>
        <v>0.61595798648302369</v>
      </c>
      <c r="BO33" s="520">
        <f t="shared" si="15"/>
        <v>0.61082944599779854</v>
      </c>
      <c r="BP33" s="520">
        <f t="shared" si="20"/>
        <v>0.60570090551257338</v>
      </c>
      <c r="BQ33" s="520">
        <f t="shared" si="29"/>
        <v>0.60057236502734812</v>
      </c>
      <c r="BR33" s="520">
        <f t="shared" si="37"/>
        <v>0.59544382454212297</v>
      </c>
      <c r="BS33" s="520">
        <f t="shared" si="46"/>
        <v>0.59031528405689782</v>
      </c>
      <c r="BT33" s="520">
        <f t="shared" si="56"/>
        <v>0.58518674357167266</v>
      </c>
      <c r="BU33" s="520">
        <f t="shared" si="67"/>
        <v>0.5800582030864474</v>
      </c>
      <c r="BV33" s="520">
        <f t="shared" si="79"/>
        <v>0.57492966260122225</v>
      </c>
      <c r="BW33" s="520">
        <f t="shared" si="92"/>
        <v>0.56980112211599709</v>
      </c>
      <c r="BX33" s="520">
        <f t="shared" si="106"/>
        <v>0.56467258163077194</v>
      </c>
      <c r="BY33" s="500">
        <f t="shared" si="2"/>
        <v>0.6801214587181198</v>
      </c>
      <c r="BZ33" s="501">
        <f t="shared" si="6"/>
        <v>0.6560258986251889</v>
      </c>
      <c r="CA33" s="501">
        <f t="shared" si="12"/>
        <v>0.64877144131956366</v>
      </c>
      <c r="CB33" s="501">
        <f t="shared" si="16"/>
        <v>0.64151698401393842</v>
      </c>
      <c r="CC33" s="501">
        <f t="shared" si="21"/>
        <v>0.63426252670831318</v>
      </c>
      <c r="CD33" s="501">
        <f t="shared" si="30"/>
        <v>0.62700806940268794</v>
      </c>
      <c r="CE33" s="501">
        <f t="shared" si="38"/>
        <v>0.61975361209706281</v>
      </c>
      <c r="CF33" s="501">
        <f t="shared" si="47"/>
        <v>0.61249915479143746</v>
      </c>
      <c r="CG33" s="501">
        <f t="shared" si="57"/>
        <v>0.60524469748581233</v>
      </c>
      <c r="CH33" s="501">
        <f t="shared" si="68"/>
        <v>0.59799024018018709</v>
      </c>
      <c r="CI33" s="501">
        <f t="shared" si="80"/>
        <v>0.59073578287456197</v>
      </c>
      <c r="CJ33" s="501">
        <f t="shared" si="93"/>
        <v>0.58348132556893662</v>
      </c>
      <c r="CK33" s="502">
        <f t="shared" si="107"/>
        <v>0.57622686826331138</v>
      </c>
      <c r="CL33" s="732"/>
      <c r="CM33" s="500">
        <f t="shared" si="3"/>
        <v>0.70018721804198225</v>
      </c>
      <c r="CN33" s="501">
        <f t="shared" si="7"/>
        <v>0.6919796074289648</v>
      </c>
      <c r="CO33" s="501">
        <f t="shared" si="13"/>
        <v>0.68377199681594725</v>
      </c>
      <c r="CP33" s="501">
        <f t="shared" si="17"/>
        <v>0.6755643862029298</v>
      </c>
      <c r="CQ33" s="501">
        <f t="shared" si="22"/>
        <v>0.66735677558991224</v>
      </c>
      <c r="CR33" s="501">
        <f t="shared" si="31"/>
        <v>0.6591491649768948</v>
      </c>
      <c r="CS33" s="501">
        <f t="shared" si="39"/>
        <v>0.65094155436387724</v>
      </c>
      <c r="CT33" s="501">
        <f t="shared" si="48"/>
        <v>0.64273394375085979</v>
      </c>
      <c r="CU33" s="501">
        <f t="shared" si="58"/>
        <v>0.63452633313784224</v>
      </c>
      <c r="CV33" s="501">
        <f t="shared" si="69"/>
        <v>0.62631872252482479</v>
      </c>
      <c r="CW33" s="501">
        <f t="shared" si="81"/>
        <v>0.61811111191180723</v>
      </c>
      <c r="CX33" s="501">
        <f t="shared" si="94"/>
        <v>0.60990350129878979</v>
      </c>
      <c r="CY33" s="502">
        <f t="shared" si="108"/>
        <v>0.60169589068577234</v>
      </c>
    </row>
    <row r="34" spans="1:103" ht="15" thickBot="1" x14ac:dyDescent="0.35">
      <c r="A34" s="335"/>
      <c r="B34" s="335"/>
      <c r="C34" s="418"/>
      <c r="D34" s="418"/>
      <c r="E34" s="418"/>
      <c r="F34" s="418"/>
      <c r="G34" s="418"/>
      <c r="H34" s="418"/>
      <c r="I34" s="418"/>
      <c r="J34" s="418"/>
      <c r="K34" s="418"/>
      <c r="L34" s="418"/>
      <c r="M34" s="418"/>
      <c r="N34" s="335"/>
      <c r="O34" s="335"/>
      <c r="P34" s="313">
        <v>2038</v>
      </c>
      <c r="Q34" s="314">
        <v>26</v>
      </c>
      <c r="R34" s="330">
        <f t="shared" si="158"/>
        <v>1.1731915099999992</v>
      </c>
      <c r="S34" s="329">
        <f t="shared" si="161"/>
        <v>1.1635924799999993</v>
      </c>
      <c r="T34" s="329">
        <f t="shared" si="154"/>
        <v>1.1539934499999993</v>
      </c>
      <c r="U34" s="329">
        <f t="shared" si="154"/>
        <v>1.1443944199999994</v>
      </c>
      <c r="V34" s="329">
        <f t="shared" si="154"/>
        <v>1.1347953899999994</v>
      </c>
      <c r="W34" s="329">
        <f t="shared" si="154"/>
        <v>1.1251963599999995</v>
      </c>
      <c r="X34" s="329">
        <f t="shared" si="154"/>
        <v>1.1155973299999995</v>
      </c>
      <c r="Y34" s="329">
        <f t="shared" si="154"/>
        <v>1.1059982999999995</v>
      </c>
      <c r="Z34" s="329">
        <f t="shared" si="154"/>
        <v>1.0963992699999996</v>
      </c>
      <c r="AA34" s="329">
        <f t="shared" si="154"/>
        <v>1.0868002399999996</v>
      </c>
      <c r="AB34" s="329">
        <f t="shared" si="154"/>
        <v>1.0772012099999997</v>
      </c>
      <c r="AC34" s="329">
        <f t="shared" si="154"/>
        <v>1.0676021799999997</v>
      </c>
      <c r="AD34" s="329">
        <f t="shared" si="162"/>
        <v>1.0580031499999998</v>
      </c>
      <c r="AE34" s="330">
        <f t="shared" si="163"/>
        <v>1.2775113800000002</v>
      </c>
      <c r="AF34" s="329">
        <f t="shared" si="163"/>
        <v>1.2635885400000002</v>
      </c>
      <c r="AG34" s="329">
        <f t="shared" si="163"/>
        <v>1.2496657000000002</v>
      </c>
      <c r="AH34" s="329">
        <f t="shared" si="163"/>
        <v>1.2357428600000002</v>
      </c>
      <c r="AI34" s="329">
        <f t="shared" si="156"/>
        <v>1.2218200200000002</v>
      </c>
      <c r="AJ34" s="329">
        <f t="shared" si="156"/>
        <v>1.2078971800000002</v>
      </c>
      <c r="AK34" s="329">
        <f t="shared" si="156"/>
        <v>1.1939743400000002</v>
      </c>
      <c r="AL34" s="329">
        <f t="shared" si="156"/>
        <v>1.1800515000000003</v>
      </c>
      <c r="AM34" s="329">
        <f t="shared" si="156"/>
        <v>1.1661286600000003</v>
      </c>
      <c r="AN34" s="329">
        <f t="shared" si="156"/>
        <v>1.1522058200000003</v>
      </c>
      <c r="AO34" s="329">
        <f t="shared" si="156"/>
        <v>1.1382829800000003</v>
      </c>
      <c r="AP34" s="329">
        <f t="shared" si="156"/>
        <v>1.1243601400000003</v>
      </c>
      <c r="AQ34" s="331">
        <f t="shared" si="156"/>
        <v>1.1104373000000003</v>
      </c>
      <c r="AR34" s="330">
        <f t="shared" si="159"/>
        <v>1.316704430000001</v>
      </c>
      <c r="AS34" s="329">
        <f t="shared" si="160"/>
        <v>1.301342340000001</v>
      </c>
      <c r="AT34" s="329">
        <f t="shared" si="157"/>
        <v>1.285980250000001</v>
      </c>
      <c r="AU34" s="329">
        <f t="shared" si="157"/>
        <v>1.2706181600000011</v>
      </c>
      <c r="AV34" s="329">
        <f t="shared" si="157"/>
        <v>1.2552560700000011</v>
      </c>
      <c r="AW34" s="329">
        <f t="shared" si="157"/>
        <v>1.2398939800000011</v>
      </c>
      <c r="AX34" s="329">
        <f t="shared" si="157"/>
        <v>1.2245318900000011</v>
      </c>
      <c r="AY34" s="329">
        <f t="shared" si="157"/>
        <v>1.2091698000000011</v>
      </c>
      <c r="AZ34" s="329">
        <f t="shared" si="157"/>
        <v>1.1938077100000011</v>
      </c>
      <c r="BA34" s="329">
        <f t="shared" si="157"/>
        <v>1.1784456200000011</v>
      </c>
      <c r="BB34" s="329">
        <f t="shared" si="157"/>
        <v>1.1630835300000011</v>
      </c>
      <c r="BC34" s="329">
        <f t="shared" si="157"/>
        <v>1.1477214400000011</v>
      </c>
      <c r="BD34" s="329">
        <f t="shared" si="157"/>
        <v>1.1323593500000011</v>
      </c>
      <c r="BE34" s="335"/>
      <c r="BF34" s="288"/>
      <c r="BG34" s="535"/>
      <c r="BH34" s="373">
        <v>2038</v>
      </c>
      <c r="BI34" s="374">
        <v>28</v>
      </c>
      <c r="BJ34" s="433">
        <f t="shared" si="0"/>
        <v>1.8971375900641883</v>
      </c>
      <c r="BK34" s="435">
        <f t="shared" si="14"/>
        <v>0.2678483190002377</v>
      </c>
      <c r="BL34" s="500">
        <f t="shared" si="1"/>
        <v>0.61128819411966095</v>
      </c>
      <c r="BM34" s="500">
        <f t="shared" si="5"/>
        <v>0.60628664606549842</v>
      </c>
      <c r="BN34" s="501">
        <f t="shared" si="11"/>
        <v>0.60128509801133601</v>
      </c>
      <c r="BO34" s="520">
        <f t="shared" si="15"/>
        <v>0.59628354995717359</v>
      </c>
      <c r="BP34" s="520">
        <f t="shared" si="20"/>
        <v>0.59128200190301106</v>
      </c>
      <c r="BQ34" s="520">
        <f t="shared" si="29"/>
        <v>0.58628045384884864</v>
      </c>
      <c r="BR34" s="520">
        <f t="shared" si="37"/>
        <v>0.58127890579468622</v>
      </c>
      <c r="BS34" s="520">
        <f t="shared" si="46"/>
        <v>0.57627735774052369</v>
      </c>
      <c r="BT34" s="520">
        <f t="shared" si="56"/>
        <v>0.57127580968636116</v>
      </c>
      <c r="BU34" s="520">
        <f t="shared" si="67"/>
        <v>0.56627426163219885</v>
      </c>
      <c r="BV34" s="520">
        <f t="shared" si="79"/>
        <v>0.56127271357803632</v>
      </c>
      <c r="BW34" s="520">
        <f t="shared" si="92"/>
        <v>0.5562711655238739</v>
      </c>
      <c r="BX34" s="520">
        <f t="shared" si="106"/>
        <v>0.55126961746971137</v>
      </c>
      <c r="BY34" s="500">
        <f t="shared" si="2"/>
        <v>0.66564377409065678</v>
      </c>
      <c r="BZ34" s="501">
        <f t="shared" si="6"/>
        <v>0.64208634322654523</v>
      </c>
      <c r="CA34" s="501">
        <f t="shared" si="12"/>
        <v>0.63501152010182116</v>
      </c>
      <c r="CB34" s="501">
        <f t="shared" si="16"/>
        <v>0.62793669697709709</v>
      </c>
      <c r="CC34" s="501">
        <f t="shared" si="21"/>
        <v>0.62086187385237313</v>
      </c>
      <c r="CD34" s="501">
        <f t="shared" si="30"/>
        <v>0.61378705072764905</v>
      </c>
      <c r="CE34" s="501">
        <f t="shared" si="38"/>
        <v>0.60671222760292509</v>
      </c>
      <c r="CF34" s="501">
        <f t="shared" si="47"/>
        <v>0.59963740447820102</v>
      </c>
      <c r="CG34" s="501">
        <f t="shared" si="57"/>
        <v>0.59256258135347706</v>
      </c>
      <c r="CH34" s="501">
        <f t="shared" si="68"/>
        <v>0.58548775822875299</v>
      </c>
      <c r="CI34" s="501">
        <f t="shared" si="80"/>
        <v>0.57841293510402902</v>
      </c>
      <c r="CJ34" s="501">
        <f t="shared" si="93"/>
        <v>0.57133811197930484</v>
      </c>
      <c r="CK34" s="502">
        <f t="shared" si="107"/>
        <v>0.56426328885458088</v>
      </c>
      <c r="CM34" s="500">
        <f t="shared" si="3"/>
        <v>0.68606520448145658</v>
      </c>
      <c r="CN34" s="501">
        <f t="shared" si="7"/>
        <v>0.67806082994076133</v>
      </c>
      <c r="CO34" s="501">
        <f t="shared" si="13"/>
        <v>0.6700564554000662</v>
      </c>
      <c r="CP34" s="501">
        <f t="shared" si="17"/>
        <v>0.66205208085937095</v>
      </c>
      <c r="CQ34" s="501">
        <f t="shared" si="22"/>
        <v>0.65404770631867593</v>
      </c>
      <c r="CR34" s="501">
        <f t="shared" si="31"/>
        <v>0.64604333177798068</v>
      </c>
      <c r="CS34" s="501">
        <f t="shared" si="39"/>
        <v>0.63803895723728554</v>
      </c>
      <c r="CT34" s="501">
        <f t="shared" si="48"/>
        <v>0.63003458269659041</v>
      </c>
      <c r="CU34" s="501">
        <f t="shared" si="58"/>
        <v>0.62203020815589527</v>
      </c>
      <c r="CV34" s="501">
        <f t="shared" si="69"/>
        <v>0.61402583361520002</v>
      </c>
      <c r="CW34" s="501">
        <f t="shared" si="81"/>
        <v>0.606021459074505</v>
      </c>
      <c r="CX34" s="501">
        <f t="shared" si="94"/>
        <v>0.59801708453380975</v>
      </c>
      <c r="CY34" s="502">
        <f t="shared" si="108"/>
        <v>0.59001270999311461</v>
      </c>
    </row>
    <row r="35" spans="1:103" ht="14.4" customHeight="1" x14ac:dyDescent="0.3">
      <c r="A35" s="335"/>
      <c r="B35" s="335"/>
      <c r="C35" s="1576" t="s">
        <v>194</v>
      </c>
      <c r="D35" s="1586" t="s">
        <v>279</v>
      </c>
      <c r="E35" s="1588" t="s">
        <v>323</v>
      </c>
      <c r="F35" s="1590" t="s">
        <v>15</v>
      </c>
      <c r="G35" s="1592" t="s">
        <v>277</v>
      </c>
      <c r="H35" s="335"/>
      <c r="I35" s="1223" t="s">
        <v>15</v>
      </c>
      <c r="J35" s="1224"/>
      <c r="K35" s="1225"/>
      <c r="L35" s="1188" t="s">
        <v>255</v>
      </c>
      <c r="M35" s="1189"/>
      <c r="N35" s="377"/>
      <c r="O35" s="335"/>
      <c r="P35" s="313">
        <v>2039</v>
      </c>
      <c r="Q35" s="314">
        <v>27</v>
      </c>
      <c r="R35" s="330">
        <f t="shared" si="158"/>
        <v>1.1743035099999992</v>
      </c>
      <c r="S35" s="329">
        <f t="shared" si="161"/>
        <v>1.1647044799999993</v>
      </c>
      <c r="T35" s="329">
        <f t="shared" si="154"/>
        <v>1.1551054499999993</v>
      </c>
      <c r="U35" s="329">
        <f t="shared" si="154"/>
        <v>1.1455064199999994</v>
      </c>
      <c r="V35" s="329">
        <f t="shared" si="154"/>
        <v>1.1359073899999994</v>
      </c>
      <c r="W35" s="329">
        <f t="shared" si="154"/>
        <v>1.1263083599999995</v>
      </c>
      <c r="X35" s="329">
        <f t="shared" si="154"/>
        <v>1.1167093299999995</v>
      </c>
      <c r="Y35" s="329">
        <f t="shared" si="154"/>
        <v>1.1071102999999995</v>
      </c>
      <c r="Z35" s="329">
        <f t="shared" si="154"/>
        <v>1.0975112699999996</v>
      </c>
      <c r="AA35" s="329">
        <f t="shared" si="154"/>
        <v>1.0879122399999996</v>
      </c>
      <c r="AB35" s="329">
        <f t="shared" si="154"/>
        <v>1.0783132099999997</v>
      </c>
      <c r="AC35" s="329">
        <f t="shared" si="154"/>
        <v>1.0687141799999997</v>
      </c>
      <c r="AD35" s="329">
        <f t="shared" si="162"/>
        <v>1.0591151499999998</v>
      </c>
      <c r="AE35" s="330">
        <f t="shared" si="163"/>
        <v>1.2820472800000002</v>
      </c>
      <c r="AF35" s="329">
        <f t="shared" si="163"/>
        <v>1.2681244400000002</v>
      </c>
      <c r="AG35" s="329">
        <f t="shared" si="163"/>
        <v>1.2542016000000002</v>
      </c>
      <c r="AH35" s="329">
        <f t="shared" si="163"/>
        <v>1.2402787600000003</v>
      </c>
      <c r="AI35" s="329">
        <f t="shared" si="156"/>
        <v>1.2263559200000003</v>
      </c>
      <c r="AJ35" s="329">
        <f t="shared" si="156"/>
        <v>1.2124330800000003</v>
      </c>
      <c r="AK35" s="329">
        <f t="shared" si="156"/>
        <v>1.1985102400000003</v>
      </c>
      <c r="AL35" s="329">
        <f t="shared" si="156"/>
        <v>1.1845874000000003</v>
      </c>
      <c r="AM35" s="329">
        <f t="shared" si="156"/>
        <v>1.1706645600000003</v>
      </c>
      <c r="AN35" s="329">
        <f t="shared" si="156"/>
        <v>1.1567417200000003</v>
      </c>
      <c r="AO35" s="329">
        <f t="shared" si="156"/>
        <v>1.1428188800000003</v>
      </c>
      <c r="AP35" s="329">
        <f t="shared" si="156"/>
        <v>1.1288960400000003</v>
      </c>
      <c r="AQ35" s="331">
        <f t="shared" si="156"/>
        <v>1.1149732000000003</v>
      </c>
      <c r="AR35" s="330">
        <f t="shared" si="159"/>
        <v>1.3228765300000012</v>
      </c>
      <c r="AS35" s="329">
        <f t="shared" si="160"/>
        <v>1.3075144400000012</v>
      </c>
      <c r="AT35" s="329">
        <f t="shared" si="157"/>
        <v>1.2921523500000012</v>
      </c>
      <c r="AU35" s="329">
        <f t="shared" si="157"/>
        <v>1.2767902600000012</v>
      </c>
      <c r="AV35" s="329">
        <f t="shared" si="157"/>
        <v>1.2614281700000012</v>
      </c>
      <c r="AW35" s="329">
        <f t="shared" si="157"/>
        <v>1.2460660800000012</v>
      </c>
      <c r="AX35" s="329">
        <f t="shared" si="157"/>
        <v>1.2307039900000012</v>
      </c>
      <c r="AY35" s="329">
        <f t="shared" si="157"/>
        <v>1.2153419000000012</v>
      </c>
      <c r="AZ35" s="329">
        <f t="shared" si="157"/>
        <v>1.1999798100000012</v>
      </c>
      <c r="BA35" s="329">
        <f t="shared" si="157"/>
        <v>1.1846177200000012</v>
      </c>
      <c r="BB35" s="329">
        <f t="shared" si="157"/>
        <v>1.1692556300000012</v>
      </c>
      <c r="BC35" s="329">
        <f t="shared" si="157"/>
        <v>1.1538935400000012</v>
      </c>
      <c r="BD35" s="329">
        <f t="shared" si="157"/>
        <v>1.1385314500000012</v>
      </c>
      <c r="BE35" s="335"/>
      <c r="BF35" s="288"/>
      <c r="BG35" s="535"/>
      <c r="BH35" s="373">
        <v>2039</v>
      </c>
      <c r="BI35" s="374">
        <v>29</v>
      </c>
      <c r="BJ35" s="433">
        <f t="shared" si="0"/>
        <v>1.9426688922257287</v>
      </c>
      <c r="BK35" s="435">
        <f t="shared" si="14"/>
        <v>0.25509363714308358</v>
      </c>
      <c r="BL35" s="500">
        <f t="shared" si="1"/>
        <v>0.59671659144201805</v>
      </c>
      <c r="BM35" s="500">
        <f t="shared" si="5"/>
        <v>0.59183889124443489</v>
      </c>
      <c r="BN35" s="501">
        <f t="shared" si="11"/>
        <v>0.58696119104685163</v>
      </c>
      <c r="BO35" s="520">
        <f t="shared" si="15"/>
        <v>0.58208349084926847</v>
      </c>
      <c r="BP35" s="520">
        <f t="shared" si="20"/>
        <v>0.5772057906516852</v>
      </c>
      <c r="BQ35" s="520">
        <f t="shared" si="29"/>
        <v>0.57232809045410205</v>
      </c>
      <c r="BR35" s="520">
        <f t="shared" si="37"/>
        <v>0.56745039025651889</v>
      </c>
      <c r="BS35" s="520">
        <f t="shared" si="46"/>
        <v>0.56257269005893562</v>
      </c>
      <c r="BT35" s="520">
        <f t="shared" si="56"/>
        <v>0.55769498986135246</v>
      </c>
      <c r="BU35" s="520">
        <f t="shared" si="67"/>
        <v>0.5528172896637692</v>
      </c>
      <c r="BV35" s="520">
        <f t="shared" si="79"/>
        <v>0.54793958946618604</v>
      </c>
      <c r="BW35" s="520">
        <f t="shared" si="92"/>
        <v>0.54306188926860277</v>
      </c>
      <c r="BX35" s="520">
        <f t="shared" si="106"/>
        <v>0.53818418907101973</v>
      </c>
      <c r="BY35" s="500">
        <f t="shared" si="2"/>
        <v>0.65146606177572541</v>
      </c>
      <c r="BZ35" s="501">
        <f t="shared" si="6"/>
        <v>0.6284348841701195</v>
      </c>
      <c r="CA35" s="501">
        <f t="shared" si="12"/>
        <v>0.62153524714181729</v>
      </c>
      <c r="CB35" s="501">
        <f t="shared" si="16"/>
        <v>0.61463561011351509</v>
      </c>
      <c r="CC35" s="501">
        <f t="shared" si="21"/>
        <v>0.60773597308521277</v>
      </c>
      <c r="CD35" s="501">
        <f t="shared" si="30"/>
        <v>0.60083633605691045</v>
      </c>
      <c r="CE35" s="501">
        <f t="shared" si="38"/>
        <v>0.59393669902860813</v>
      </c>
      <c r="CF35" s="501">
        <f t="shared" si="47"/>
        <v>0.58703706200030592</v>
      </c>
      <c r="CG35" s="501">
        <f t="shared" si="57"/>
        <v>0.5801374249720036</v>
      </c>
      <c r="CH35" s="501">
        <f t="shared" si="68"/>
        <v>0.57323778794370128</v>
      </c>
      <c r="CI35" s="501">
        <f t="shared" si="80"/>
        <v>0.56633815091539896</v>
      </c>
      <c r="CJ35" s="501">
        <f t="shared" si="93"/>
        <v>0.55943851388709664</v>
      </c>
      <c r="CK35" s="502">
        <f t="shared" si="107"/>
        <v>0.55253887685879444</v>
      </c>
      <c r="CM35" s="500">
        <f t="shared" si="3"/>
        <v>0.67221324568828533</v>
      </c>
      <c r="CN35" s="501">
        <f t="shared" si="7"/>
        <v>0.66440707470764537</v>
      </c>
      <c r="CO35" s="501">
        <f t="shared" si="13"/>
        <v>0.65660090372700564</v>
      </c>
      <c r="CP35" s="501">
        <f t="shared" si="17"/>
        <v>0.64879473274636568</v>
      </c>
      <c r="CQ35" s="501">
        <f t="shared" si="22"/>
        <v>0.64098856176572594</v>
      </c>
      <c r="CR35" s="501">
        <f t="shared" si="31"/>
        <v>0.63318239078508598</v>
      </c>
      <c r="CS35" s="501">
        <f t="shared" si="39"/>
        <v>0.62537621980444624</v>
      </c>
      <c r="CT35" s="501">
        <f t="shared" si="48"/>
        <v>0.61757004882380639</v>
      </c>
      <c r="CU35" s="501">
        <f t="shared" si="58"/>
        <v>0.60976387784316655</v>
      </c>
      <c r="CV35" s="501">
        <f t="shared" si="69"/>
        <v>0.6019577068625267</v>
      </c>
      <c r="CW35" s="501">
        <f t="shared" si="81"/>
        <v>0.59415153588188685</v>
      </c>
      <c r="CX35" s="501">
        <f t="shared" si="94"/>
        <v>0.586345364901247</v>
      </c>
      <c r="CY35" s="502">
        <f t="shared" si="108"/>
        <v>0.57853919392060715</v>
      </c>
    </row>
    <row r="36" spans="1:103" ht="15" customHeight="1" thickBot="1" x14ac:dyDescent="0.35">
      <c r="A36" s="335"/>
      <c r="B36" s="335"/>
      <c r="C36" s="1577"/>
      <c r="D36" s="1587"/>
      <c r="E36" s="1589"/>
      <c r="F36" s="1591"/>
      <c r="G36" s="1593"/>
      <c r="H36" s="335"/>
      <c r="I36" s="1226"/>
      <c r="J36" s="1227"/>
      <c r="K36" s="1228"/>
      <c r="L36" s="1192"/>
      <c r="M36" s="1193"/>
      <c r="N36" s="335"/>
      <c r="O36" s="335"/>
      <c r="P36" s="313">
        <v>2040</v>
      </c>
      <c r="Q36" s="314">
        <v>28</v>
      </c>
      <c r="R36" s="330">
        <f t="shared" si="158"/>
        <v>1.1754155099999992</v>
      </c>
      <c r="S36" s="329">
        <f t="shared" si="161"/>
        <v>1.1658164799999993</v>
      </c>
      <c r="T36" s="329">
        <f t="shared" si="154"/>
        <v>1.1562174499999993</v>
      </c>
      <c r="U36" s="329">
        <f t="shared" si="154"/>
        <v>1.1466184199999994</v>
      </c>
      <c r="V36" s="329">
        <f t="shared" si="154"/>
        <v>1.1370193899999994</v>
      </c>
      <c r="W36" s="329">
        <f t="shared" si="154"/>
        <v>1.1274203599999995</v>
      </c>
      <c r="X36" s="329">
        <f t="shared" si="154"/>
        <v>1.1178213299999995</v>
      </c>
      <c r="Y36" s="329">
        <f t="shared" si="154"/>
        <v>1.1082222999999995</v>
      </c>
      <c r="Z36" s="329">
        <f t="shared" si="154"/>
        <v>1.0986232699999996</v>
      </c>
      <c r="AA36" s="329">
        <f t="shared" si="154"/>
        <v>1.0890242399999996</v>
      </c>
      <c r="AB36" s="329">
        <f t="shared" si="154"/>
        <v>1.0794252099999997</v>
      </c>
      <c r="AC36" s="329">
        <f t="shared" si="154"/>
        <v>1.0698261799999997</v>
      </c>
      <c r="AD36" s="329">
        <f t="shared" si="162"/>
        <v>1.0602271499999998</v>
      </c>
      <c r="AE36" s="330">
        <f t="shared" si="163"/>
        <v>1.2865831800000003</v>
      </c>
      <c r="AF36" s="329">
        <f t="shared" si="163"/>
        <v>1.2726603400000003</v>
      </c>
      <c r="AG36" s="329">
        <f t="shared" si="163"/>
        <v>1.2587375000000003</v>
      </c>
      <c r="AH36" s="329">
        <f t="shared" si="163"/>
        <v>1.2448146600000003</v>
      </c>
      <c r="AI36" s="329">
        <f t="shared" si="156"/>
        <v>1.2308918200000003</v>
      </c>
      <c r="AJ36" s="329">
        <f t="shared" si="156"/>
        <v>1.2169689800000003</v>
      </c>
      <c r="AK36" s="329">
        <f t="shared" si="156"/>
        <v>1.2030461400000003</v>
      </c>
      <c r="AL36" s="329">
        <f t="shared" si="156"/>
        <v>1.1891233000000003</v>
      </c>
      <c r="AM36" s="329">
        <f t="shared" si="156"/>
        <v>1.1752004600000003</v>
      </c>
      <c r="AN36" s="329">
        <f t="shared" si="156"/>
        <v>1.1612776200000003</v>
      </c>
      <c r="AO36" s="329">
        <f t="shared" si="156"/>
        <v>1.1473547800000004</v>
      </c>
      <c r="AP36" s="329">
        <f t="shared" si="156"/>
        <v>1.1334319400000004</v>
      </c>
      <c r="AQ36" s="331">
        <f t="shared" si="156"/>
        <v>1.1195091000000004</v>
      </c>
      <c r="AR36" s="330">
        <f t="shared" si="159"/>
        <v>1.3290486300000013</v>
      </c>
      <c r="AS36" s="329">
        <f t="shared" si="160"/>
        <v>1.3136865400000013</v>
      </c>
      <c r="AT36" s="329">
        <f t="shared" si="157"/>
        <v>1.2983244500000013</v>
      </c>
      <c r="AU36" s="329">
        <f t="shared" si="157"/>
        <v>1.2829623600000013</v>
      </c>
      <c r="AV36" s="329">
        <f t="shared" si="157"/>
        <v>1.2676002700000013</v>
      </c>
      <c r="AW36" s="329">
        <f t="shared" si="157"/>
        <v>1.2522381800000013</v>
      </c>
      <c r="AX36" s="329">
        <f t="shared" si="157"/>
        <v>1.2368760900000013</v>
      </c>
      <c r="AY36" s="329">
        <f t="shared" si="157"/>
        <v>1.2215140000000013</v>
      </c>
      <c r="AZ36" s="329">
        <f t="shared" si="157"/>
        <v>1.2061519100000013</v>
      </c>
      <c r="BA36" s="329">
        <f t="shared" si="157"/>
        <v>1.1907898200000013</v>
      </c>
      <c r="BB36" s="329">
        <f t="shared" si="157"/>
        <v>1.1754277300000013</v>
      </c>
      <c r="BC36" s="329">
        <f t="shared" si="157"/>
        <v>1.1600656400000013</v>
      </c>
      <c r="BD36" s="329">
        <f t="shared" si="157"/>
        <v>1.1447035500000013</v>
      </c>
      <c r="BE36" s="335"/>
      <c r="BF36" s="288"/>
      <c r="BG36" s="535"/>
      <c r="BH36" s="515">
        <v>2040</v>
      </c>
      <c r="BI36" s="372">
        <v>30</v>
      </c>
      <c r="BJ36" s="433">
        <f t="shared" si="0"/>
        <v>1.9892929456391462</v>
      </c>
      <c r="BK36" s="435">
        <f t="shared" si="14"/>
        <v>0.24294632108865097</v>
      </c>
      <c r="BL36" s="500">
        <f t="shared" si="1"/>
        <v>0.58249181750539514</v>
      </c>
      <c r="BM36" s="500">
        <f t="shared" si="5"/>
        <v>0.57773489845556159</v>
      </c>
      <c r="BN36" s="501">
        <f t="shared" si="11"/>
        <v>0.57297797940572814</v>
      </c>
      <c r="BO36" s="520">
        <f t="shared" si="15"/>
        <v>0.56822106035589448</v>
      </c>
      <c r="BP36" s="520">
        <f t="shared" si="20"/>
        <v>0.56346414130606104</v>
      </c>
      <c r="BQ36" s="520">
        <f t="shared" si="29"/>
        <v>0.55870722225622749</v>
      </c>
      <c r="BR36" s="520">
        <f t="shared" si="37"/>
        <v>0.55395030320639405</v>
      </c>
      <c r="BS36" s="520">
        <f t="shared" si="46"/>
        <v>0.54919338415656049</v>
      </c>
      <c r="BT36" s="520">
        <f t="shared" si="56"/>
        <v>0.54443646510672694</v>
      </c>
      <c r="BU36" s="520">
        <f t="shared" si="67"/>
        <v>0.53967954605689339</v>
      </c>
      <c r="BV36" s="520">
        <f t="shared" si="79"/>
        <v>0.53492262700705984</v>
      </c>
      <c r="BW36" s="520">
        <f t="shared" si="92"/>
        <v>0.5301657079572264</v>
      </c>
      <c r="BX36" s="520">
        <f t="shared" si="106"/>
        <v>0.52540878890739273</v>
      </c>
      <c r="BY36" s="500">
        <f t="shared" si="2"/>
        <v>0.63758234302189154</v>
      </c>
      <c r="BZ36" s="501">
        <f t="shared" si="6"/>
        <v>0.61506580089279539</v>
      </c>
      <c r="CA36" s="501">
        <f t="shared" si="12"/>
        <v>0.60833701201947976</v>
      </c>
      <c r="CB36" s="501">
        <f t="shared" si="16"/>
        <v>0.60160822314616391</v>
      </c>
      <c r="CC36" s="501">
        <f t="shared" si="21"/>
        <v>0.59487943427284828</v>
      </c>
      <c r="CD36" s="501">
        <f t="shared" si="30"/>
        <v>0.58815064539953243</v>
      </c>
      <c r="CE36" s="501">
        <f t="shared" si="38"/>
        <v>0.5814218565262167</v>
      </c>
      <c r="CF36" s="501">
        <f t="shared" si="47"/>
        <v>0.57469306765290096</v>
      </c>
      <c r="CG36" s="501">
        <f t="shared" si="57"/>
        <v>0.56796427877958511</v>
      </c>
      <c r="CH36" s="501">
        <f t="shared" si="68"/>
        <v>0.56123548990626948</v>
      </c>
      <c r="CI36" s="501">
        <f t="shared" si="80"/>
        <v>0.55450670103295363</v>
      </c>
      <c r="CJ36" s="501">
        <f t="shared" si="93"/>
        <v>0.54777791215963789</v>
      </c>
      <c r="CK36" s="502">
        <f t="shared" si="107"/>
        <v>0.54104912328632215</v>
      </c>
      <c r="CM36" s="500">
        <f t="shared" si="3"/>
        <v>0.65862662646144321</v>
      </c>
      <c r="CN36" s="501">
        <f t="shared" si="7"/>
        <v>0.65101375114318105</v>
      </c>
      <c r="CO36" s="501">
        <f t="shared" si="13"/>
        <v>0.64340087582491889</v>
      </c>
      <c r="CP36" s="501">
        <f t="shared" si="17"/>
        <v>0.63578800050665685</v>
      </c>
      <c r="CQ36" s="501">
        <f t="shared" si="22"/>
        <v>0.6281751251883948</v>
      </c>
      <c r="CR36" s="501">
        <f t="shared" si="31"/>
        <v>0.62056224987013264</v>
      </c>
      <c r="CS36" s="501">
        <f t="shared" si="39"/>
        <v>0.61294937455187049</v>
      </c>
      <c r="CT36" s="501">
        <f t="shared" si="48"/>
        <v>0.60533649923360844</v>
      </c>
      <c r="CU36" s="501">
        <f t="shared" si="58"/>
        <v>0.59772362391534628</v>
      </c>
      <c r="CV36" s="501">
        <f t="shared" si="69"/>
        <v>0.59011074859708423</v>
      </c>
      <c r="CW36" s="501">
        <f t="shared" si="81"/>
        <v>0.58249787327882219</v>
      </c>
      <c r="CX36" s="501">
        <f t="shared" si="94"/>
        <v>0.57488499796056003</v>
      </c>
      <c r="CY36" s="502">
        <f t="shared" si="108"/>
        <v>0.56727212264229787</v>
      </c>
    </row>
    <row r="37" spans="1:103" ht="15" customHeight="1" thickBot="1" x14ac:dyDescent="0.35">
      <c r="A37" s="335"/>
      <c r="B37" s="293" t="str">
        <f t="shared" ref="B37" si="164">C37&amp;D37&amp;E37&amp;F37</f>
        <v>DublinNational Primary&gt;60Segregated</v>
      </c>
      <c r="C37" s="382" t="str">
        <f>C8</f>
        <v>Dublin</v>
      </c>
      <c r="D37" s="383" t="str">
        <f>D8</f>
        <v>National Primary</v>
      </c>
      <c r="E37" s="300" t="s">
        <v>285</v>
      </c>
      <c r="F37" s="301" t="s">
        <v>286</v>
      </c>
      <c r="G37" s="379">
        <f>VLOOKUP(B37,B67:G154,6,FALSE)</f>
        <v>0.95599999999999996</v>
      </c>
      <c r="H37" s="335"/>
      <c r="I37" s="1556" t="s">
        <v>28</v>
      </c>
      <c r="J37" s="1557"/>
      <c r="K37" s="1558"/>
      <c r="L37" s="1554">
        <v>0.95599999999999996</v>
      </c>
      <c r="M37" s="1555"/>
      <c r="N37" s="335"/>
      <c r="O37" s="335"/>
      <c r="P37" s="313">
        <v>2041</v>
      </c>
      <c r="Q37" s="314">
        <v>29</v>
      </c>
      <c r="R37" s="330">
        <f t="shared" si="158"/>
        <v>1.1765275099999992</v>
      </c>
      <c r="S37" s="329">
        <f t="shared" si="161"/>
        <v>1.1669284799999993</v>
      </c>
      <c r="T37" s="329">
        <f t="shared" si="154"/>
        <v>1.1573294499999993</v>
      </c>
      <c r="U37" s="329">
        <f t="shared" si="154"/>
        <v>1.1477304199999994</v>
      </c>
      <c r="V37" s="329">
        <f t="shared" si="154"/>
        <v>1.1381313899999994</v>
      </c>
      <c r="W37" s="329">
        <f t="shared" si="154"/>
        <v>1.1285323599999995</v>
      </c>
      <c r="X37" s="329">
        <f t="shared" si="154"/>
        <v>1.1189333299999995</v>
      </c>
      <c r="Y37" s="329">
        <f t="shared" si="154"/>
        <v>1.1093342999999996</v>
      </c>
      <c r="Z37" s="329">
        <f t="shared" si="154"/>
        <v>1.0997352699999996</v>
      </c>
      <c r="AA37" s="329">
        <f t="shared" si="154"/>
        <v>1.0901362399999996</v>
      </c>
      <c r="AB37" s="329">
        <f t="shared" si="154"/>
        <v>1.0805372099999997</v>
      </c>
      <c r="AC37" s="329">
        <f t="shared" si="154"/>
        <v>1.0709381799999997</v>
      </c>
      <c r="AD37" s="329">
        <f t="shared" si="162"/>
        <v>1.0613391499999998</v>
      </c>
      <c r="AE37" s="330">
        <f t="shared" si="163"/>
        <v>1.2911190800000003</v>
      </c>
      <c r="AF37" s="329">
        <f t="shared" si="163"/>
        <v>1.2771962400000003</v>
      </c>
      <c r="AG37" s="329">
        <f t="shared" si="163"/>
        <v>1.2632734000000003</v>
      </c>
      <c r="AH37" s="329">
        <f t="shared" si="163"/>
        <v>1.2493505600000003</v>
      </c>
      <c r="AI37" s="329">
        <f t="shared" si="156"/>
        <v>1.2354277200000003</v>
      </c>
      <c r="AJ37" s="329">
        <f t="shared" si="156"/>
        <v>1.2215048800000003</v>
      </c>
      <c r="AK37" s="329">
        <f t="shared" si="156"/>
        <v>1.2075820400000004</v>
      </c>
      <c r="AL37" s="329">
        <f t="shared" si="156"/>
        <v>1.1936592000000004</v>
      </c>
      <c r="AM37" s="329">
        <f t="shared" si="156"/>
        <v>1.1797363600000004</v>
      </c>
      <c r="AN37" s="329">
        <f t="shared" si="156"/>
        <v>1.1658135200000004</v>
      </c>
      <c r="AO37" s="329">
        <f t="shared" si="156"/>
        <v>1.1518906800000004</v>
      </c>
      <c r="AP37" s="329">
        <f t="shared" si="156"/>
        <v>1.1379678400000004</v>
      </c>
      <c r="AQ37" s="331">
        <f t="shared" si="156"/>
        <v>1.1240450000000004</v>
      </c>
      <c r="AR37" s="330">
        <f t="shared" si="159"/>
        <v>1.3352207300000014</v>
      </c>
      <c r="AS37" s="329">
        <f t="shared" si="160"/>
        <v>1.3198586400000014</v>
      </c>
      <c r="AT37" s="329">
        <f t="shared" si="157"/>
        <v>1.3044965500000014</v>
      </c>
      <c r="AU37" s="329">
        <f t="shared" si="157"/>
        <v>1.2891344600000014</v>
      </c>
      <c r="AV37" s="329">
        <f t="shared" si="157"/>
        <v>1.2737723700000014</v>
      </c>
      <c r="AW37" s="329">
        <f t="shared" si="157"/>
        <v>1.2584102800000014</v>
      </c>
      <c r="AX37" s="329">
        <f t="shared" si="157"/>
        <v>1.2430481900000014</v>
      </c>
      <c r="AY37" s="329">
        <f t="shared" si="157"/>
        <v>1.2276861000000014</v>
      </c>
      <c r="AZ37" s="329">
        <f t="shared" si="157"/>
        <v>1.2123240100000015</v>
      </c>
      <c r="BA37" s="329">
        <f t="shared" si="157"/>
        <v>1.1969619200000015</v>
      </c>
      <c r="BB37" s="329">
        <f t="shared" si="157"/>
        <v>1.1815998300000015</v>
      </c>
      <c r="BC37" s="329">
        <f t="shared" si="157"/>
        <v>1.1662377400000015</v>
      </c>
      <c r="BD37" s="329">
        <f t="shared" si="157"/>
        <v>1.1508756500000015</v>
      </c>
      <c r="BE37" s="335"/>
      <c r="BF37" s="288"/>
      <c r="BG37" s="535"/>
      <c r="BH37" s="515">
        <v>2041</v>
      </c>
      <c r="BI37" s="372">
        <v>31</v>
      </c>
      <c r="BJ37" s="433">
        <f t="shared" si="0"/>
        <v>2.0370359763344856</v>
      </c>
      <c r="BK37" s="435">
        <f t="shared" si="14"/>
        <v>0.23137744865585813</v>
      </c>
      <c r="BL37" s="500">
        <f t="shared" si="1"/>
        <v>0.56860563063555181</v>
      </c>
      <c r="BM37" s="500">
        <f t="shared" si="5"/>
        <v>0.56396650196219034</v>
      </c>
      <c r="BN37" s="501">
        <f t="shared" si="11"/>
        <v>0.55932737328882887</v>
      </c>
      <c r="BO37" s="520">
        <f t="shared" si="15"/>
        <v>0.5546882446154674</v>
      </c>
      <c r="BP37" s="520">
        <f t="shared" si="20"/>
        <v>0.55004911594210593</v>
      </c>
      <c r="BQ37" s="520">
        <f t="shared" si="29"/>
        <v>0.54540998726874446</v>
      </c>
      <c r="BR37" s="520">
        <f t="shared" si="37"/>
        <v>0.5407708585953831</v>
      </c>
      <c r="BS37" s="520">
        <f t="shared" si="46"/>
        <v>0.53613172992202163</v>
      </c>
      <c r="BT37" s="520">
        <f t="shared" si="56"/>
        <v>0.53149260124866016</v>
      </c>
      <c r="BU37" s="520">
        <f t="shared" si="67"/>
        <v>0.52685347257529869</v>
      </c>
      <c r="BV37" s="520">
        <f t="shared" si="79"/>
        <v>0.52221434390193722</v>
      </c>
      <c r="BW37" s="520">
        <f t="shared" si="92"/>
        <v>0.51757521522857586</v>
      </c>
      <c r="BX37" s="520">
        <f t="shared" si="106"/>
        <v>0.51293608655521439</v>
      </c>
      <c r="BY37" s="500">
        <f t="shared" si="2"/>
        <v>0.6239867512396664</v>
      </c>
      <c r="BZ37" s="501">
        <f t="shared" si="6"/>
        <v>0.60197347948870783</v>
      </c>
      <c r="CA37" s="501">
        <f t="shared" si="12"/>
        <v>0.59541130824463606</v>
      </c>
      <c r="CB37" s="501">
        <f t="shared" si="16"/>
        <v>0.5888491370005644</v>
      </c>
      <c r="CC37" s="501">
        <f t="shared" si="21"/>
        <v>0.58228696575649252</v>
      </c>
      <c r="CD37" s="501">
        <f t="shared" si="30"/>
        <v>0.57572479451242087</v>
      </c>
      <c r="CE37" s="501">
        <f t="shared" si="38"/>
        <v>0.5691626232683491</v>
      </c>
      <c r="CF37" s="501">
        <f t="shared" si="47"/>
        <v>0.56260045202427733</v>
      </c>
      <c r="CG37" s="501">
        <f t="shared" si="57"/>
        <v>0.55603828078020567</v>
      </c>
      <c r="CH37" s="501">
        <f t="shared" si="68"/>
        <v>0.54947610953613391</v>
      </c>
      <c r="CI37" s="501">
        <f t="shared" si="80"/>
        <v>0.54291393829206214</v>
      </c>
      <c r="CJ37" s="501">
        <f t="shared" si="93"/>
        <v>0.53635176704799037</v>
      </c>
      <c r="CK37" s="502">
        <f t="shared" si="107"/>
        <v>0.52978959580391871</v>
      </c>
      <c r="CM37" s="500">
        <f t="shared" si="3"/>
        <v>0.64530069953002045</v>
      </c>
      <c r="CN37" s="501">
        <f t="shared" si="7"/>
        <v>0.63787633350535344</v>
      </c>
      <c r="CO37" s="501">
        <f t="shared" si="13"/>
        <v>0.63045196748068633</v>
      </c>
      <c r="CP37" s="501">
        <f t="shared" si="17"/>
        <v>0.62302760145601932</v>
      </c>
      <c r="CQ37" s="501">
        <f t="shared" si="22"/>
        <v>0.61560323543135231</v>
      </c>
      <c r="CR37" s="501">
        <f t="shared" si="31"/>
        <v>0.60817886940668531</v>
      </c>
      <c r="CS37" s="501">
        <f t="shared" si="39"/>
        <v>0.6007545033820183</v>
      </c>
      <c r="CT37" s="501">
        <f t="shared" si="48"/>
        <v>0.59333013735735118</v>
      </c>
      <c r="CU37" s="501">
        <f t="shared" si="58"/>
        <v>0.58590577133268418</v>
      </c>
      <c r="CV37" s="501">
        <f t="shared" si="69"/>
        <v>0.57848140530801706</v>
      </c>
      <c r="CW37" s="501">
        <f t="shared" si="81"/>
        <v>0.57105703928335005</v>
      </c>
      <c r="CX37" s="501">
        <f t="shared" si="94"/>
        <v>0.56363267325868305</v>
      </c>
      <c r="CY37" s="502">
        <f t="shared" si="108"/>
        <v>0.55620830723401604</v>
      </c>
    </row>
    <row r="38" spans="1:103" ht="14.4" customHeight="1" x14ac:dyDescent="0.3">
      <c r="A38" s="335"/>
      <c r="B38" s="293"/>
      <c r="C38" s="384"/>
      <c r="D38" s="385"/>
      <c r="E38" s="386"/>
      <c r="F38" s="385"/>
      <c r="G38" s="381"/>
      <c r="H38" s="335"/>
      <c r="I38" s="1559" t="s">
        <v>240</v>
      </c>
      <c r="J38" s="1560"/>
      <c r="K38" s="1561"/>
      <c r="L38" s="424" t="s">
        <v>247</v>
      </c>
      <c r="M38" s="380" t="s">
        <v>248</v>
      </c>
      <c r="N38" s="335"/>
      <c r="O38" s="335"/>
      <c r="P38" s="313">
        <v>2042</v>
      </c>
      <c r="Q38" s="314">
        <v>30</v>
      </c>
      <c r="R38" s="330">
        <f t="shared" si="158"/>
        <v>1.1776395099999992</v>
      </c>
      <c r="S38" s="329">
        <f t="shared" si="161"/>
        <v>1.1680404799999993</v>
      </c>
      <c r="T38" s="329">
        <f t="shared" si="154"/>
        <v>1.1584414499999993</v>
      </c>
      <c r="U38" s="329">
        <f t="shared" si="154"/>
        <v>1.1488424199999994</v>
      </c>
      <c r="V38" s="329">
        <f t="shared" si="154"/>
        <v>1.1392433899999994</v>
      </c>
      <c r="W38" s="329">
        <f t="shared" si="154"/>
        <v>1.1296443599999995</v>
      </c>
      <c r="X38" s="329">
        <f t="shared" si="154"/>
        <v>1.1200453299999995</v>
      </c>
      <c r="Y38" s="329">
        <f t="shared" si="154"/>
        <v>1.1104462999999996</v>
      </c>
      <c r="Z38" s="329">
        <f t="shared" si="154"/>
        <v>1.1008472699999996</v>
      </c>
      <c r="AA38" s="329">
        <f t="shared" si="154"/>
        <v>1.0912482399999996</v>
      </c>
      <c r="AB38" s="329">
        <f t="shared" si="154"/>
        <v>1.0816492099999997</v>
      </c>
      <c r="AC38" s="329">
        <f t="shared" si="154"/>
        <v>1.0720501799999997</v>
      </c>
      <c r="AD38" s="329">
        <f t="shared" si="162"/>
        <v>1.0624511499999998</v>
      </c>
      <c r="AE38" s="330">
        <f>$I$8+(AE37-1)</f>
        <v>1.2956549800000003</v>
      </c>
      <c r="AF38" s="329">
        <f t="shared" si="163"/>
        <v>1.2817321400000004</v>
      </c>
      <c r="AG38" s="329">
        <f t="shared" si="163"/>
        <v>1.2678093000000004</v>
      </c>
      <c r="AH38" s="329">
        <f t="shared" si="163"/>
        <v>1.2538864600000004</v>
      </c>
      <c r="AI38" s="329">
        <f t="shared" si="156"/>
        <v>1.2399636200000004</v>
      </c>
      <c r="AJ38" s="329">
        <f t="shared" si="156"/>
        <v>1.2260407800000004</v>
      </c>
      <c r="AK38" s="329">
        <f t="shared" si="156"/>
        <v>1.2121179400000004</v>
      </c>
      <c r="AL38" s="329">
        <f t="shared" si="156"/>
        <v>1.1981951000000004</v>
      </c>
      <c r="AM38" s="329">
        <f t="shared" si="156"/>
        <v>1.1842722600000004</v>
      </c>
      <c r="AN38" s="329">
        <f t="shared" si="156"/>
        <v>1.1703494200000004</v>
      </c>
      <c r="AO38" s="329">
        <f t="shared" si="156"/>
        <v>1.1564265800000004</v>
      </c>
      <c r="AP38" s="329">
        <f t="shared" si="156"/>
        <v>1.1425037400000004</v>
      </c>
      <c r="AQ38" s="331">
        <f t="shared" si="156"/>
        <v>1.1285809000000004</v>
      </c>
      <c r="AR38" s="330">
        <f t="shared" si="159"/>
        <v>1.3413928300000015</v>
      </c>
      <c r="AS38" s="329">
        <f t="shared" si="160"/>
        <v>1.3260307400000015</v>
      </c>
      <c r="AT38" s="329">
        <f t="shared" si="157"/>
        <v>1.3106686500000015</v>
      </c>
      <c r="AU38" s="329">
        <f t="shared" si="157"/>
        <v>1.2953065600000016</v>
      </c>
      <c r="AV38" s="329">
        <f t="shared" si="157"/>
        <v>1.2799444700000016</v>
      </c>
      <c r="AW38" s="329">
        <f t="shared" si="157"/>
        <v>1.2645823800000016</v>
      </c>
      <c r="AX38" s="329">
        <f t="shared" si="157"/>
        <v>1.2492202900000016</v>
      </c>
      <c r="AY38" s="329">
        <f t="shared" si="157"/>
        <v>1.2338582000000016</v>
      </c>
      <c r="AZ38" s="329">
        <f t="shared" si="157"/>
        <v>1.2184961100000016</v>
      </c>
      <c r="BA38" s="329">
        <f t="shared" si="157"/>
        <v>1.2031340200000016</v>
      </c>
      <c r="BB38" s="329">
        <f t="shared" si="157"/>
        <v>1.1877719300000016</v>
      </c>
      <c r="BC38" s="329">
        <f t="shared" si="157"/>
        <v>1.1724098400000016</v>
      </c>
      <c r="BD38" s="329">
        <f t="shared" si="157"/>
        <v>1.1570477500000016</v>
      </c>
      <c r="BE38" s="335"/>
      <c r="BF38" s="288"/>
      <c r="BG38" s="535"/>
      <c r="BH38" s="515">
        <v>2042</v>
      </c>
      <c r="BI38" s="372">
        <v>32</v>
      </c>
      <c r="BJ38" s="433">
        <f t="shared" si="0"/>
        <v>2.0859248397665135</v>
      </c>
      <c r="BK38" s="435">
        <f t="shared" si="14"/>
        <v>0.220359474910341</v>
      </c>
      <c r="BL38" s="500">
        <f t="shared" si="1"/>
        <v>0.55504998465864286</v>
      </c>
      <c r="BM38" s="500">
        <f t="shared" si="5"/>
        <v>0.55052572964766933</v>
      </c>
      <c r="BN38" s="501">
        <f t="shared" si="11"/>
        <v>0.5460014746366959</v>
      </c>
      <c r="BO38" s="520">
        <f t="shared" si="15"/>
        <v>0.54147721962572248</v>
      </c>
      <c r="BP38" s="520">
        <f t="shared" si="20"/>
        <v>0.53695296461474906</v>
      </c>
      <c r="BQ38" s="520">
        <f t="shared" si="29"/>
        <v>0.53242870960377553</v>
      </c>
      <c r="BR38" s="520">
        <f t="shared" si="37"/>
        <v>0.527904454592802</v>
      </c>
      <c r="BS38" s="520">
        <f t="shared" si="46"/>
        <v>0.52338019958182858</v>
      </c>
      <c r="BT38" s="520">
        <f t="shared" si="56"/>
        <v>0.51885594457085515</v>
      </c>
      <c r="BU38" s="520">
        <f t="shared" si="67"/>
        <v>0.51433168955988173</v>
      </c>
      <c r="BV38" s="520">
        <f t="shared" si="79"/>
        <v>0.5098074345489082</v>
      </c>
      <c r="BW38" s="520">
        <f t="shared" si="92"/>
        <v>0.50528317953793478</v>
      </c>
      <c r="BX38" s="520">
        <f t="shared" si="106"/>
        <v>0.50075892452696136</v>
      </c>
      <c r="BY38" s="500">
        <f t="shared" si="2"/>
        <v>0.61067353011270387</v>
      </c>
      <c r="BZ38" s="501">
        <f t="shared" si="6"/>
        <v>0.58915241093474202</v>
      </c>
      <c r="CA38" s="501">
        <f t="shared" si="12"/>
        <v>0.58275273155004725</v>
      </c>
      <c r="CB38" s="501">
        <f t="shared" si="16"/>
        <v>0.5763530521653526</v>
      </c>
      <c r="CC38" s="501">
        <f t="shared" si="21"/>
        <v>0.56995337278065783</v>
      </c>
      <c r="CD38" s="501">
        <f t="shared" si="30"/>
        <v>0.56355369339596306</v>
      </c>
      <c r="CE38" s="501">
        <f t="shared" si="38"/>
        <v>0.55715401401126841</v>
      </c>
      <c r="CF38" s="501">
        <f t="shared" si="47"/>
        <v>0.55075433462657364</v>
      </c>
      <c r="CG38" s="501">
        <f t="shared" si="57"/>
        <v>0.54435465524187887</v>
      </c>
      <c r="CH38" s="501">
        <f t="shared" si="68"/>
        <v>0.53795497585718421</v>
      </c>
      <c r="CI38" s="501">
        <f t="shared" si="80"/>
        <v>0.53155529647248945</v>
      </c>
      <c r="CJ38" s="501">
        <f t="shared" si="93"/>
        <v>0.52515561708779479</v>
      </c>
      <c r="CK38" s="502">
        <f t="shared" si="107"/>
        <v>0.51875593770310002</v>
      </c>
      <c r="CM38" s="500">
        <f t="shared" si="3"/>
        <v>0.63223088508020153</v>
      </c>
      <c r="CN38" s="501">
        <f t="shared" si="7"/>
        <v>0.62499036049995471</v>
      </c>
      <c r="CO38" s="501">
        <f t="shared" si="13"/>
        <v>0.61774983591970811</v>
      </c>
      <c r="CP38" s="501">
        <f t="shared" si="17"/>
        <v>0.6105093113394614</v>
      </c>
      <c r="CQ38" s="501">
        <f t="shared" si="22"/>
        <v>0.60326878675921469</v>
      </c>
      <c r="CR38" s="501">
        <f t="shared" si="31"/>
        <v>0.59602826217896798</v>
      </c>
      <c r="CS38" s="501">
        <f t="shared" si="39"/>
        <v>0.58878773759872116</v>
      </c>
      <c r="CT38" s="501">
        <f t="shared" si="48"/>
        <v>0.58154721301847456</v>
      </c>
      <c r="CU38" s="501">
        <f t="shared" si="58"/>
        <v>0.57430668843822785</v>
      </c>
      <c r="CV38" s="501">
        <f t="shared" si="69"/>
        <v>0.56706616385798114</v>
      </c>
      <c r="CW38" s="501">
        <f t="shared" si="81"/>
        <v>0.55982563927773432</v>
      </c>
      <c r="CX38" s="501">
        <f t="shared" si="94"/>
        <v>0.55258511469748761</v>
      </c>
      <c r="CY38" s="502">
        <f t="shared" si="108"/>
        <v>0.54534459011724101</v>
      </c>
    </row>
    <row r="39" spans="1:103" ht="14.4" customHeight="1" x14ac:dyDescent="0.3">
      <c r="A39" s="335"/>
      <c r="B39" s="335"/>
      <c r="C39" s="335"/>
      <c r="D39" s="335"/>
      <c r="E39" s="335"/>
      <c r="F39" s="335"/>
      <c r="G39" s="335"/>
      <c r="H39" s="335"/>
      <c r="I39" s="1548" t="s">
        <v>241</v>
      </c>
      <c r="J39" s="1549"/>
      <c r="K39" s="1550"/>
      <c r="L39" s="371">
        <v>0.95899999999999996</v>
      </c>
      <c r="M39" s="370">
        <v>0.95499999999999996</v>
      </c>
      <c r="N39" s="335"/>
      <c r="O39" s="335"/>
      <c r="P39" s="313">
        <v>2043</v>
      </c>
      <c r="Q39" s="314">
        <v>31</v>
      </c>
      <c r="R39" s="336"/>
      <c r="S39" s="329">
        <f t="shared" si="161"/>
        <v>1.1691524799999993</v>
      </c>
      <c r="T39" s="329">
        <f t="shared" si="154"/>
        <v>1.1595534499999993</v>
      </c>
      <c r="U39" s="329">
        <f t="shared" si="154"/>
        <v>1.1499544199999994</v>
      </c>
      <c r="V39" s="329">
        <f t="shared" si="154"/>
        <v>1.1403553899999994</v>
      </c>
      <c r="W39" s="329">
        <f t="shared" si="154"/>
        <v>1.1307563599999995</v>
      </c>
      <c r="X39" s="329">
        <f t="shared" si="154"/>
        <v>1.1211573299999995</v>
      </c>
      <c r="Y39" s="329">
        <f t="shared" si="154"/>
        <v>1.1115582999999996</v>
      </c>
      <c r="Z39" s="329">
        <f t="shared" si="154"/>
        <v>1.1019592699999996</v>
      </c>
      <c r="AA39" s="329">
        <f t="shared" si="154"/>
        <v>1.0923602399999996</v>
      </c>
      <c r="AB39" s="329">
        <f t="shared" si="154"/>
        <v>1.0827612099999997</v>
      </c>
      <c r="AC39" s="329">
        <f t="shared" si="154"/>
        <v>1.0731621799999997</v>
      </c>
      <c r="AD39" s="329">
        <f t="shared" si="162"/>
        <v>1.0635631499999998</v>
      </c>
      <c r="AE39" s="337"/>
      <c r="AF39" s="329">
        <f t="shared" si="163"/>
        <v>1.2862680400000004</v>
      </c>
      <c r="AG39" s="329">
        <f t="shared" si="163"/>
        <v>1.2723452000000004</v>
      </c>
      <c r="AH39" s="329">
        <f t="shared" si="163"/>
        <v>1.2584223600000004</v>
      </c>
      <c r="AI39" s="329">
        <f t="shared" si="156"/>
        <v>1.2444995200000004</v>
      </c>
      <c r="AJ39" s="329">
        <f t="shared" si="156"/>
        <v>1.2305766800000004</v>
      </c>
      <c r="AK39" s="329">
        <f t="shared" si="156"/>
        <v>1.2166538400000004</v>
      </c>
      <c r="AL39" s="329">
        <f t="shared" si="156"/>
        <v>1.2027310000000004</v>
      </c>
      <c r="AM39" s="329">
        <f t="shared" si="156"/>
        <v>1.1888081600000004</v>
      </c>
      <c r="AN39" s="329">
        <f t="shared" si="156"/>
        <v>1.1748853200000005</v>
      </c>
      <c r="AO39" s="329">
        <f t="shared" si="156"/>
        <v>1.1609624800000005</v>
      </c>
      <c r="AP39" s="329">
        <f t="shared" si="156"/>
        <v>1.1470396400000005</v>
      </c>
      <c r="AQ39" s="331">
        <f t="shared" si="156"/>
        <v>1.1331168000000005</v>
      </c>
      <c r="AR39" s="336"/>
      <c r="AS39" s="329">
        <f t="shared" si="160"/>
        <v>1.3322028400000017</v>
      </c>
      <c r="AT39" s="329">
        <f t="shared" si="157"/>
        <v>1.3168407500000017</v>
      </c>
      <c r="AU39" s="329">
        <f t="shared" si="157"/>
        <v>1.3014786600000017</v>
      </c>
      <c r="AV39" s="329">
        <f t="shared" si="157"/>
        <v>1.2861165700000017</v>
      </c>
      <c r="AW39" s="329">
        <f t="shared" si="157"/>
        <v>1.2707544800000017</v>
      </c>
      <c r="AX39" s="329">
        <f t="shared" si="157"/>
        <v>1.2553923900000017</v>
      </c>
      <c r="AY39" s="329">
        <f t="shared" si="157"/>
        <v>1.2400303000000017</v>
      </c>
      <c r="AZ39" s="329">
        <f t="shared" si="157"/>
        <v>1.2246682100000017</v>
      </c>
      <c r="BA39" s="329">
        <f t="shared" si="157"/>
        <v>1.2093061200000017</v>
      </c>
      <c r="BB39" s="329">
        <f t="shared" si="157"/>
        <v>1.1939440300000017</v>
      </c>
      <c r="BC39" s="329">
        <f t="shared" si="157"/>
        <v>1.1785819400000017</v>
      </c>
      <c r="BD39" s="329">
        <f t="shared" si="157"/>
        <v>1.1632198500000017</v>
      </c>
      <c r="BE39" s="335"/>
      <c r="BF39" s="288"/>
      <c r="BG39" s="535"/>
      <c r="BH39" s="515">
        <v>2043</v>
      </c>
      <c r="BI39" s="372">
        <v>33</v>
      </c>
      <c r="BJ39" s="433">
        <f t="shared" si="0"/>
        <v>2.1359870359209094</v>
      </c>
      <c r="BK39" s="435">
        <f t="shared" si="14"/>
        <v>0.20986616658127716</v>
      </c>
      <c r="BL39" s="500"/>
      <c r="BM39" s="500">
        <f t="shared" si="5"/>
        <v>0.53740479843341693</v>
      </c>
      <c r="BN39" s="501">
        <f t="shared" si="11"/>
        <v>0.53299257259414379</v>
      </c>
      <c r="BO39" s="520">
        <f t="shared" si="15"/>
        <v>0.52858034675487064</v>
      </c>
      <c r="BP39" s="520">
        <f t="shared" si="20"/>
        <v>0.52416812091559739</v>
      </c>
      <c r="BQ39" s="520">
        <f t="shared" si="29"/>
        <v>0.51975589507632436</v>
      </c>
      <c r="BR39" s="520">
        <f t="shared" si="37"/>
        <v>0.51534366923705122</v>
      </c>
      <c r="BS39" s="520">
        <f t="shared" si="46"/>
        <v>0.51093144339777796</v>
      </c>
      <c r="BT39" s="520">
        <f t="shared" si="56"/>
        <v>0.50651921755850482</v>
      </c>
      <c r="BU39" s="520">
        <f t="shared" si="67"/>
        <v>0.50210699171923168</v>
      </c>
      <c r="BV39" s="520">
        <f t="shared" si="79"/>
        <v>0.49769476587995853</v>
      </c>
      <c r="BW39" s="520">
        <f t="shared" si="92"/>
        <v>0.49328254004068534</v>
      </c>
      <c r="BX39" s="520">
        <f t="shared" si="106"/>
        <v>0.48887031420141214</v>
      </c>
      <c r="BY39" s="500"/>
      <c r="BZ39" s="501">
        <f t="shared" si="6"/>
        <v>0.57659718933851978</v>
      </c>
      <c r="CA39" s="501">
        <f t="shared" si="12"/>
        <v>0.57035597820525563</v>
      </c>
      <c r="CB39" s="501">
        <f t="shared" si="16"/>
        <v>0.56411476707199149</v>
      </c>
      <c r="CC39" s="501">
        <f t="shared" si="21"/>
        <v>0.55787355593872723</v>
      </c>
      <c r="CD39" s="501">
        <f t="shared" si="30"/>
        <v>0.55163234480546308</v>
      </c>
      <c r="CE39" s="501">
        <f t="shared" si="38"/>
        <v>0.54539113367219882</v>
      </c>
      <c r="CF39" s="501">
        <f t="shared" si="47"/>
        <v>0.53914992253893468</v>
      </c>
      <c r="CG39" s="501">
        <f t="shared" si="57"/>
        <v>0.53290871140567053</v>
      </c>
      <c r="CH39" s="501">
        <f t="shared" si="68"/>
        <v>0.52666750027240627</v>
      </c>
      <c r="CI39" s="501">
        <f t="shared" si="80"/>
        <v>0.52042628913914202</v>
      </c>
      <c r="CJ39" s="501">
        <f t="shared" si="93"/>
        <v>0.51418507800587798</v>
      </c>
      <c r="CK39" s="502">
        <f t="shared" si="107"/>
        <v>0.50794386687261373</v>
      </c>
      <c r="CM39" s="500"/>
      <c r="CN39" s="501">
        <f t="shared" si="7"/>
        <v>0.61235143486384858</v>
      </c>
      <c r="CO39" s="501">
        <f t="shared" si="13"/>
        <v>0.60529019946368412</v>
      </c>
      <c r="CP39" s="501">
        <f t="shared" si="17"/>
        <v>0.59822896406351966</v>
      </c>
      <c r="CQ39" s="501">
        <f t="shared" si="22"/>
        <v>0.59116772866335532</v>
      </c>
      <c r="CR39" s="501">
        <f t="shared" si="31"/>
        <v>0.58410649326319086</v>
      </c>
      <c r="CS39" s="501">
        <f t="shared" si="39"/>
        <v>0.57704525786302652</v>
      </c>
      <c r="CT39" s="501">
        <f t="shared" si="48"/>
        <v>0.56998402246286206</v>
      </c>
      <c r="CU39" s="501">
        <f t="shared" si="58"/>
        <v>0.56292278706269772</v>
      </c>
      <c r="CV39" s="501">
        <f t="shared" si="69"/>
        <v>0.55586155166253326</v>
      </c>
      <c r="CW39" s="501">
        <f t="shared" si="81"/>
        <v>0.54880031626236891</v>
      </c>
      <c r="CX39" s="501">
        <f t="shared" si="94"/>
        <v>0.54173908086220435</v>
      </c>
      <c r="CY39" s="502">
        <f t="shared" si="108"/>
        <v>0.53467784546204</v>
      </c>
    </row>
    <row r="40" spans="1:103" ht="14.4" customHeight="1" x14ac:dyDescent="0.3">
      <c r="A40" s="335"/>
      <c r="B40" s="335"/>
      <c r="C40" s="335"/>
      <c r="D40" s="335"/>
      <c r="E40" s="335"/>
      <c r="F40" s="335"/>
      <c r="G40" s="335"/>
      <c r="H40" s="335"/>
      <c r="I40" s="1548" t="s">
        <v>244</v>
      </c>
      <c r="J40" s="1549"/>
      <c r="K40" s="1550"/>
      <c r="L40" s="371">
        <v>0.95899999999999996</v>
      </c>
      <c r="M40" s="370">
        <v>0.95499999999999996</v>
      </c>
      <c r="N40" s="335"/>
      <c r="O40" s="335"/>
      <c r="P40" s="313">
        <v>2044</v>
      </c>
      <c r="Q40" s="314">
        <v>32</v>
      </c>
      <c r="R40" s="336"/>
      <c r="S40" s="308"/>
      <c r="T40" s="329">
        <f t="shared" si="154"/>
        <v>1.1606654499999993</v>
      </c>
      <c r="U40" s="329">
        <f t="shared" si="154"/>
        <v>1.1510664199999994</v>
      </c>
      <c r="V40" s="329">
        <f t="shared" si="154"/>
        <v>1.1414673899999994</v>
      </c>
      <c r="W40" s="329">
        <f t="shared" si="154"/>
        <v>1.1318683599999995</v>
      </c>
      <c r="X40" s="329">
        <f t="shared" si="154"/>
        <v>1.1222693299999995</v>
      </c>
      <c r="Y40" s="329">
        <f t="shared" si="154"/>
        <v>1.1126702999999996</v>
      </c>
      <c r="Z40" s="329">
        <f t="shared" si="154"/>
        <v>1.1030712699999996</v>
      </c>
      <c r="AA40" s="329">
        <f t="shared" si="154"/>
        <v>1.0934722399999997</v>
      </c>
      <c r="AB40" s="329">
        <f t="shared" si="154"/>
        <v>1.0838732099999997</v>
      </c>
      <c r="AC40" s="329">
        <f t="shared" si="154"/>
        <v>1.0742741799999997</v>
      </c>
      <c r="AD40" s="329">
        <f t="shared" si="162"/>
        <v>1.0646751499999998</v>
      </c>
      <c r="AE40" s="337"/>
      <c r="AF40" s="308"/>
      <c r="AG40" s="329">
        <f t="shared" si="163"/>
        <v>1.2768811000000004</v>
      </c>
      <c r="AH40" s="329">
        <f t="shared" si="163"/>
        <v>1.2629582600000004</v>
      </c>
      <c r="AI40" s="329">
        <f t="shared" si="156"/>
        <v>1.2490354200000005</v>
      </c>
      <c r="AJ40" s="329">
        <f t="shared" si="156"/>
        <v>1.2351125800000005</v>
      </c>
      <c r="AK40" s="329">
        <f t="shared" si="156"/>
        <v>1.2211897400000005</v>
      </c>
      <c r="AL40" s="329">
        <f t="shared" si="156"/>
        <v>1.2072669000000005</v>
      </c>
      <c r="AM40" s="329">
        <f t="shared" si="156"/>
        <v>1.1933440600000005</v>
      </c>
      <c r="AN40" s="329">
        <f t="shared" si="156"/>
        <v>1.1794212200000005</v>
      </c>
      <c r="AO40" s="329">
        <f t="shared" si="156"/>
        <v>1.1654983800000005</v>
      </c>
      <c r="AP40" s="329">
        <f t="shared" si="156"/>
        <v>1.1515755400000005</v>
      </c>
      <c r="AQ40" s="331">
        <f t="shared" si="156"/>
        <v>1.1376527000000005</v>
      </c>
      <c r="AR40" s="336"/>
      <c r="AS40" s="308"/>
      <c r="AT40" s="329">
        <f t="shared" si="157"/>
        <v>1.3230128500000018</v>
      </c>
      <c r="AU40" s="329">
        <f t="shared" si="157"/>
        <v>1.3076507600000018</v>
      </c>
      <c r="AV40" s="329">
        <f t="shared" si="157"/>
        <v>1.2922886700000018</v>
      </c>
      <c r="AW40" s="329">
        <f t="shared" si="157"/>
        <v>1.2769265800000018</v>
      </c>
      <c r="AX40" s="329">
        <f t="shared" si="157"/>
        <v>1.2615644900000018</v>
      </c>
      <c r="AY40" s="329">
        <f t="shared" si="157"/>
        <v>1.2462024000000018</v>
      </c>
      <c r="AZ40" s="329">
        <f t="shared" si="157"/>
        <v>1.2308403100000018</v>
      </c>
      <c r="BA40" s="329">
        <f t="shared" si="157"/>
        <v>1.2154782200000018</v>
      </c>
      <c r="BB40" s="329">
        <f t="shared" si="157"/>
        <v>1.2001161300000018</v>
      </c>
      <c r="BC40" s="329">
        <f t="shared" si="157"/>
        <v>1.1847540400000018</v>
      </c>
      <c r="BD40" s="329">
        <f t="shared" si="157"/>
        <v>1.1693919500000018</v>
      </c>
      <c r="BE40" s="335"/>
      <c r="BF40" s="288"/>
      <c r="BG40" s="535"/>
      <c r="BH40" s="515">
        <v>2044</v>
      </c>
      <c r="BI40" s="372">
        <v>34</v>
      </c>
      <c r="BJ40" s="433">
        <f t="shared" si="0"/>
        <v>2.1872507247830115</v>
      </c>
      <c r="BK40" s="435">
        <f t="shared" si="14"/>
        <v>0.19987253960121634</v>
      </c>
      <c r="BL40" s="500"/>
      <c r="BM40" s="501"/>
      <c r="BN40" s="501">
        <f t="shared" si="11"/>
        <v>0.52029313908190378</v>
      </c>
      <c r="BO40" s="520">
        <f t="shared" si="15"/>
        <v>0.51599016835865064</v>
      </c>
      <c r="BP40" s="520">
        <f t="shared" si="20"/>
        <v>0.51168719763539761</v>
      </c>
      <c r="BQ40" s="520">
        <f t="shared" si="29"/>
        <v>0.50738422691214458</v>
      </c>
      <c r="BR40" s="520">
        <f t="shared" si="37"/>
        <v>0.50308125618889155</v>
      </c>
      <c r="BS40" s="520">
        <f t="shared" si="46"/>
        <v>0.49877828546563835</v>
      </c>
      <c r="BT40" s="520">
        <f t="shared" si="56"/>
        <v>0.49447531474238532</v>
      </c>
      <c r="BU40" s="520">
        <f t="shared" si="67"/>
        <v>0.49017234401913229</v>
      </c>
      <c r="BV40" s="520">
        <f t="shared" si="79"/>
        <v>0.48586937329587915</v>
      </c>
      <c r="BW40" s="520">
        <f t="shared" si="92"/>
        <v>0.48156640257262612</v>
      </c>
      <c r="BX40" s="520">
        <f t="shared" si="106"/>
        <v>0.47726343184937309</v>
      </c>
      <c r="BY40" s="500"/>
      <c r="BZ40" s="501"/>
      <c r="CA40" s="501">
        <f t="shared" si="12"/>
        <v>0.55821584335125574</v>
      </c>
      <c r="CB40" s="501">
        <f t="shared" si="16"/>
        <v>0.55212917649367232</v>
      </c>
      <c r="CC40" s="501">
        <f t="shared" si="21"/>
        <v>0.54604250963608902</v>
      </c>
      <c r="CD40" s="501">
        <f t="shared" si="30"/>
        <v>0.53995584277850561</v>
      </c>
      <c r="CE40" s="501">
        <f t="shared" si="38"/>
        <v>0.53386917592092231</v>
      </c>
      <c r="CF40" s="501">
        <f t="shared" si="47"/>
        <v>0.5277825090633389</v>
      </c>
      <c r="CG40" s="501">
        <f t="shared" si="57"/>
        <v>0.52169584220575549</v>
      </c>
      <c r="CH40" s="501">
        <f t="shared" si="68"/>
        <v>0.51560917534817208</v>
      </c>
      <c r="CI40" s="501">
        <f t="shared" si="80"/>
        <v>0.50952250849058878</v>
      </c>
      <c r="CJ40" s="501">
        <f t="shared" si="93"/>
        <v>0.50343584163300537</v>
      </c>
      <c r="CK40" s="502">
        <f t="shared" si="107"/>
        <v>0.49734917477542201</v>
      </c>
      <c r="CM40" s="500"/>
      <c r="CN40" s="501"/>
      <c r="CO40" s="501">
        <f t="shared" si="13"/>
        <v>0.59306883716767578</v>
      </c>
      <c r="CP40" s="501">
        <f t="shared" si="17"/>
        <v>0.58618245140599168</v>
      </c>
      <c r="CQ40" s="501">
        <f t="shared" si="22"/>
        <v>0.57929606564430747</v>
      </c>
      <c r="CR40" s="501">
        <f t="shared" si="31"/>
        <v>0.57240967988262337</v>
      </c>
      <c r="CS40" s="501">
        <f t="shared" si="39"/>
        <v>0.56552329412093916</v>
      </c>
      <c r="CT40" s="501">
        <f t="shared" si="48"/>
        <v>0.55863690835925506</v>
      </c>
      <c r="CU40" s="501">
        <f t="shared" si="58"/>
        <v>0.55175052259757085</v>
      </c>
      <c r="CV40" s="501">
        <f t="shared" si="69"/>
        <v>0.54486413683588675</v>
      </c>
      <c r="CW40" s="501">
        <f t="shared" si="81"/>
        <v>0.53797775107420265</v>
      </c>
      <c r="CX40" s="501">
        <f t="shared" si="94"/>
        <v>0.53109136531251855</v>
      </c>
      <c r="CY40" s="502">
        <f t="shared" si="108"/>
        <v>0.52420497955083434</v>
      </c>
    </row>
    <row r="41" spans="1:103" ht="14.4" customHeight="1" x14ac:dyDescent="0.3">
      <c r="A41" s="335"/>
      <c r="B41" s="335"/>
      <c r="C41" s="335"/>
      <c r="D41" s="335"/>
      <c r="E41" s="335"/>
      <c r="F41" s="335"/>
      <c r="G41" s="335"/>
      <c r="H41" s="335"/>
      <c r="I41" s="1548" t="s">
        <v>245</v>
      </c>
      <c r="J41" s="1549"/>
      <c r="K41" s="1550"/>
      <c r="L41" s="371">
        <v>0.95899999999999996</v>
      </c>
      <c r="M41" s="370">
        <v>0.95499999999999996</v>
      </c>
      <c r="N41" s="335"/>
      <c r="O41" s="335"/>
      <c r="P41" s="313">
        <v>2045</v>
      </c>
      <c r="Q41" s="314">
        <v>33</v>
      </c>
      <c r="R41" s="336"/>
      <c r="S41" s="308"/>
      <c r="T41" s="308"/>
      <c r="U41" s="329">
        <f t="shared" si="154"/>
        <v>1.1521784199999994</v>
      </c>
      <c r="V41" s="329">
        <f t="shared" si="154"/>
        <v>1.1425793899999994</v>
      </c>
      <c r="W41" s="329">
        <f t="shared" si="154"/>
        <v>1.1329803599999995</v>
      </c>
      <c r="X41" s="329">
        <f t="shared" si="154"/>
        <v>1.1233813299999995</v>
      </c>
      <c r="Y41" s="329">
        <f t="shared" si="154"/>
        <v>1.1137822999999996</v>
      </c>
      <c r="Z41" s="329">
        <f t="shared" si="154"/>
        <v>1.1041832699999996</v>
      </c>
      <c r="AA41" s="329">
        <f t="shared" si="154"/>
        <v>1.0945842399999997</v>
      </c>
      <c r="AB41" s="329">
        <f t="shared" si="154"/>
        <v>1.0849852099999997</v>
      </c>
      <c r="AC41" s="329">
        <f t="shared" si="154"/>
        <v>1.0753861799999997</v>
      </c>
      <c r="AD41" s="329">
        <f t="shared" si="162"/>
        <v>1.0657871499999998</v>
      </c>
      <c r="AE41" s="337"/>
      <c r="AF41" s="308"/>
      <c r="AG41" s="308"/>
      <c r="AH41" s="329">
        <f>$I$8+(AH40-1)</f>
        <v>1.2674941600000005</v>
      </c>
      <c r="AI41" s="329">
        <f t="shared" si="156"/>
        <v>1.2535713200000005</v>
      </c>
      <c r="AJ41" s="329">
        <f t="shared" si="156"/>
        <v>1.2396484800000005</v>
      </c>
      <c r="AK41" s="329">
        <f t="shared" si="156"/>
        <v>1.2257256400000005</v>
      </c>
      <c r="AL41" s="329">
        <f t="shared" si="156"/>
        <v>1.2118028000000005</v>
      </c>
      <c r="AM41" s="329">
        <f t="shared" si="156"/>
        <v>1.1978799600000005</v>
      </c>
      <c r="AN41" s="329">
        <f t="shared" si="156"/>
        <v>1.1839571200000005</v>
      </c>
      <c r="AO41" s="329">
        <f t="shared" si="156"/>
        <v>1.1700342800000005</v>
      </c>
      <c r="AP41" s="329">
        <f t="shared" si="156"/>
        <v>1.1561114400000005</v>
      </c>
      <c r="AQ41" s="331">
        <f t="shared" si="156"/>
        <v>1.1421886000000006</v>
      </c>
      <c r="AR41" s="336"/>
      <c r="AS41" s="308"/>
      <c r="AT41" s="308"/>
      <c r="AU41" s="329">
        <f t="shared" si="157"/>
        <v>1.3138228600000019</v>
      </c>
      <c r="AV41" s="329">
        <f t="shared" si="157"/>
        <v>1.2984607700000019</v>
      </c>
      <c r="AW41" s="329">
        <f t="shared" si="157"/>
        <v>1.2830986800000019</v>
      </c>
      <c r="AX41" s="329">
        <f t="shared" si="157"/>
        <v>1.2677365900000019</v>
      </c>
      <c r="AY41" s="329">
        <f t="shared" si="157"/>
        <v>1.2523745000000019</v>
      </c>
      <c r="AZ41" s="329">
        <f t="shared" si="157"/>
        <v>1.2370124100000019</v>
      </c>
      <c r="BA41" s="329">
        <f t="shared" si="157"/>
        <v>1.221650320000002</v>
      </c>
      <c r="BB41" s="329">
        <f t="shared" si="157"/>
        <v>1.206288230000002</v>
      </c>
      <c r="BC41" s="329">
        <f t="shared" si="157"/>
        <v>1.190926140000002</v>
      </c>
      <c r="BD41" s="329">
        <f t="shared" si="157"/>
        <v>1.175564050000002</v>
      </c>
      <c r="BE41" s="335"/>
      <c r="BF41" s="288"/>
      <c r="BG41" s="535"/>
      <c r="BH41" s="515">
        <v>2045</v>
      </c>
      <c r="BI41" s="372">
        <v>35</v>
      </c>
      <c r="BJ41" s="433">
        <f t="shared" si="0"/>
        <v>2.2397447421778036</v>
      </c>
      <c r="BK41" s="435">
        <f t="shared" si="14"/>
        <v>0.19035479962020604</v>
      </c>
      <c r="BL41" s="500"/>
      <c r="BM41" s="501"/>
      <c r="BN41" s="501"/>
      <c r="BO41" s="520">
        <f t="shared" si="15"/>
        <v>0.50369940350077758</v>
      </c>
      <c r="BP41" s="520">
        <f t="shared" si="20"/>
        <v>0.49950298252876696</v>
      </c>
      <c r="BQ41" s="520">
        <f t="shared" si="29"/>
        <v>0.49530656155675634</v>
      </c>
      <c r="BR41" s="520">
        <f t="shared" si="37"/>
        <v>0.49111014058474572</v>
      </c>
      <c r="BS41" s="520">
        <f t="shared" si="46"/>
        <v>0.48691371961273516</v>
      </c>
      <c r="BT41" s="520">
        <f t="shared" si="56"/>
        <v>0.48271729864072455</v>
      </c>
      <c r="BU41" s="520">
        <f t="shared" si="67"/>
        <v>0.47852087766871393</v>
      </c>
      <c r="BV41" s="520">
        <f t="shared" si="79"/>
        <v>0.47432445669670331</v>
      </c>
      <c r="BW41" s="520">
        <f t="shared" si="92"/>
        <v>0.47012803572469269</v>
      </c>
      <c r="BX41" s="520">
        <f t="shared" si="106"/>
        <v>0.46593161475268213</v>
      </c>
      <c r="BY41" s="500"/>
      <c r="BZ41" s="501"/>
      <c r="CA41" s="501"/>
      <c r="CB41" s="501">
        <f t="shared" si="16"/>
        <v>0.54039126996345799</v>
      </c>
      <c r="CC41" s="501">
        <f t="shared" si="21"/>
        <v>0.53445532057091949</v>
      </c>
      <c r="CD41" s="501">
        <f t="shared" si="30"/>
        <v>0.5285193711783811</v>
      </c>
      <c r="CE41" s="501">
        <f t="shared" si="38"/>
        <v>0.52258342178584261</v>
      </c>
      <c r="CF41" s="501">
        <f t="shared" si="47"/>
        <v>0.51664747239330422</v>
      </c>
      <c r="CG41" s="501">
        <f t="shared" si="57"/>
        <v>0.51071152300076572</v>
      </c>
      <c r="CH41" s="501">
        <f t="shared" si="68"/>
        <v>0.50477557360822722</v>
      </c>
      <c r="CI41" s="501">
        <f t="shared" si="80"/>
        <v>0.49883962421568884</v>
      </c>
      <c r="CJ41" s="501">
        <f t="shared" si="93"/>
        <v>0.4929036748231504</v>
      </c>
      <c r="CK41" s="502">
        <f t="shared" si="107"/>
        <v>0.48696772543061201</v>
      </c>
      <c r="CM41" s="500"/>
      <c r="CN41" s="501"/>
      <c r="CO41" s="501"/>
      <c r="CP41" s="501">
        <f t="shared" si="17"/>
        <v>0.5743657227043768</v>
      </c>
      <c r="CQ41" s="501">
        <f t="shared" si="22"/>
        <v>0.56764985697107717</v>
      </c>
      <c r="CR41" s="501">
        <f t="shared" si="31"/>
        <v>0.56093399123777765</v>
      </c>
      <c r="CS41" s="501">
        <f t="shared" si="39"/>
        <v>0.55421812550447791</v>
      </c>
      <c r="CT41" s="501">
        <f t="shared" si="48"/>
        <v>0.54750225977117839</v>
      </c>
      <c r="CU41" s="501">
        <f t="shared" si="58"/>
        <v>0.54078639403787876</v>
      </c>
      <c r="CV41" s="501">
        <f t="shared" si="69"/>
        <v>0.53407052830457924</v>
      </c>
      <c r="CW41" s="501">
        <f t="shared" si="81"/>
        <v>0.52735466257127972</v>
      </c>
      <c r="CX41" s="501">
        <f t="shared" si="94"/>
        <v>0.52063879683797998</v>
      </c>
      <c r="CY41" s="502">
        <f t="shared" si="108"/>
        <v>0.51392293110468046</v>
      </c>
    </row>
    <row r="42" spans="1:103" ht="14.4" customHeight="1" x14ac:dyDescent="0.3">
      <c r="A42" s="335"/>
      <c r="B42" s="335"/>
      <c r="C42" s="335"/>
      <c r="D42" s="335"/>
      <c r="E42" s="335"/>
      <c r="F42" s="335"/>
      <c r="G42" s="335"/>
      <c r="H42" s="335"/>
      <c r="I42" s="1548" t="s">
        <v>242</v>
      </c>
      <c r="J42" s="1549"/>
      <c r="K42" s="1550"/>
      <c r="L42" s="371">
        <v>0.96699999999999997</v>
      </c>
      <c r="M42" s="370">
        <v>0.95599999999999996</v>
      </c>
      <c r="N42" s="335"/>
      <c r="O42" s="335"/>
      <c r="P42" s="313">
        <v>2046</v>
      </c>
      <c r="Q42" s="314">
        <v>34</v>
      </c>
      <c r="R42" s="336"/>
      <c r="S42" s="308"/>
      <c r="T42" s="308"/>
      <c r="U42" s="308"/>
      <c r="V42" s="329">
        <f t="shared" ref="V42:AC46" si="165">$F$8+(V41-1)</f>
        <v>1.1436913899999994</v>
      </c>
      <c r="W42" s="329">
        <f t="shared" si="165"/>
        <v>1.1340923599999995</v>
      </c>
      <c r="X42" s="329">
        <f t="shared" si="165"/>
        <v>1.1244933299999995</v>
      </c>
      <c r="Y42" s="329">
        <f t="shared" si="165"/>
        <v>1.1148942999999996</v>
      </c>
      <c r="Z42" s="329">
        <f t="shared" si="165"/>
        <v>1.1052952699999996</v>
      </c>
      <c r="AA42" s="329">
        <f t="shared" si="165"/>
        <v>1.0956962399999997</v>
      </c>
      <c r="AB42" s="329">
        <f t="shared" si="165"/>
        <v>1.0860972099999997</v>
      </c>
      <c r="AC42" s="329">
        <f t="shared" si="165"/>
        <v>1.0764981799999997</v>
      </c>
      <c r="AD42" s="329">
        <f t="shared" si="162"/>
        <v>1.0668991499999998</v>
      </c>
      <c r="AE42" s="337"/>
      <c r="AF42" s="308"/>
      <c r="AG42" s="308"/>
      <c r="AH42" s="308"/>
      <c r="AI42" s="329">
        <f t="shared" ref="AI42:AQ46" si="166">$I$8+(AI41-1)</f>
        <v>1.2581072200000005</v>
      </c>
      <c r="AJ42" s="329">
        <f t="shared" si="166"/>
        <v>1.2441843800000005</v>
      </c>
      <c r="AK42" s="329">
        <f t="shared" si="166"/>
        <v>1.2302615400000005</v>
      </c>
      <c r="AL42" s="329">
        <f t="shared" si="166"/>
        <v>1.2163387000000006</v>
      </c>
      <c r="AM42" s="329">
        <f t="shared" si="166"/>
        <v>1.2024158600000006</v>
      </c>
      <c r="AN42" s="329">
        <f t="shared" si="166"/>
        <v>1.1884930200000006</v>
      </c>
      <c r="AO42" s="329">
        <f t="shared" si="166"/>
        <v>1.1745701800000006</v>
      </c>
      <c r="AP42" s="329">
        <f t="shared" si="166"/>
        <v>1.1606473400000006</v>
      </c>
      <c r="AQ42" s="331">
        <f t="shared" si="166"/>
        <v>1.1467245000000006</v>
      </c>
      <c r="AR42" s="336"/>
      <c r="AS42" s="308"/>
      <c r="AT42" s="308"/>
      <c r="AU42" s="308"/>
      <c r="AV42" s="329">
        <f t="shared" ref="AV42:BD46" si="167">$L$8+(AV41-1)</f>
        <v>1.3046328700000021</v>
      </c>
      <c r="AW42" s="329">
        <f t="shared" si="167"/>
        <v>1.2892707800000021</v>
      </c>
      <c r="AX42" s="329">
        <f t="shared" si="167"/>
        <v>1.2739086900000021</v>
      </c>
      <c r="AY42" s="329">
        <f t="shared" si="167"/>
        <v>1.2585466000000021</v>
      </c>
      <c r="AZ42" s="329">
        <f t="shared" si="167"/>
        <v>1.2431845100000021</v>
      </c>
      <c r="BA42" s="329">
        <f t="shared" si="167"/>
        <v>1.2278224200000021</v>
      </c>
      <c r="BB42" s="329">
        <f t="shared" si="167"/>
        <v>1.2124603300000021</v>
      </c>
      <c r="BC42" s="329">
        <f t="shared" si="167"/>
        <v>1.1970982400000021</v>
      </c>
      <c r="BD42" s="329">
        <f t="shared" si="167"/>
        <v>1.1817361500000021</v>
      </c>
      <c r="BE42" s="335"/>
      <c r="BF42" s="288"/>
      <c r="BG42" s="535"/>
      <c r="BH42" s="515">
        <v>2046</v>
      </c>
      <c r="BI42" s="372">
        <v>36</v>
      </c>
      <c r="BJ42" s="433">
        <f t="shared" si="0"/>
        <v>2.293498615990071</v>
      </c>
      <c r="BK42" s="435">
        <f t="shared" si="14"/>
        <v>0.18129028535257716</v>
      </c>
      <c r="BL42" s="500"/>
      <c r="BM42" s="501"/>
      <c r="BN42" s="501"/>
      <c r="BO42" s="501"/>
      <c r="BP42" s="520">
        <f t="shared" si="20"/>
        <v>0.48760843417879879</v>
      </c>
      <c r="BQ42" s="520">
        <f t="shared" si="29"/>
        <v>0.48351592458323805</v>
      </c>
      <c r="BR42" s="520">
        <f t="shared" si="37"/>
        <v>0.47942341498767721</v>
      </c>
      <c r="BS42" s="520">
        <f t="shared" si="46"/>
        <v>0.47533090539211642</v>
      </c>
      <c r="BT42" s="520">
        <f t="shared" si="56"/>
        <v>0.47123839579655558</v>
      </c>
      <c r="BU42" s="520">
        <f t="shared" si="67"/>
        <v>0.46714588620099473</v>
      </c>
      <c r="BV42" s="520">
        <f t="shared" si="79"/>
        <v>0.46305337660543394</v>
      </c>
      <c r="BW42" s="520">
        <f t="shared" si="92"/>
        <v>0.4589608670098731</v>
      </c>
      <c r="BX42" s="520">
        <f t="shared" si="106"/>
        <v>0.45486835741431225</v>
      </c>
      <c r="BY42" s="500"/>
      <c r="BZ42" s="501"/>
      <c r="CA42" s="501"/>
      <c r="CB42" s="501"/>
      <c r="CC42" s="501">
        <f t="shared" si="21"/>
        <v>0.52310716623268361</v>
      </c>
      <c r="CD42" s="501">
        <f t="shared" si="30"/>
        <v>0.51731820225367464</v>
      </c>
      <c r="CE42" s="501">
        <f t="shared" si="38"/>
        <v>0.51152923827466568</v>
      </c>
      <c r="CF42" s="501">
        <f t="shared" si="47"/>
        <v>0.50574027429565682</v>
      </c>
      <c r="CG42" s="501">
        <f t="shared" si="57"/>
        <v>0.49995131031664791</v>
      </c>
      <c r="CH42" s="501">
        <f t="shared" si="68"/>
        <v>0.494162346337639</v>
      </c>
      <c r="CI42" s="501">
        <f t="shared" si="80"/>
        <v>0.48837338235863004</v>
      </c>
      <c r="CJ42" s="501">
        <f t="shared" si="93"/>
        <v>0.48258441837962113</v>
      </c>
      <c r="CK42" s="502">
        <f t="shared" si="107"/>
        <v>0.47679545440061222</v>
      </c>
      <c r="CM42" s="500"/>
      <c r="CN42" s="501"/>
      <c r="CO42" s="501"/>
      <c r="CP42" s="501"/>
      <c r="CQ42" s="501">
        <f t="shared" si="22"/>
        <v>0.55622521641864742</v>
      </c>
      <c r="CR42" s="501">
        <f t="shared" si="31"/>
        <v>0.54967564831302962</v>
      </c>
      <c r="CS42" s="501">
        <f t="shared" si="39"/>
        <v>0.54312608020741171</v>
      </c>
      <c r="CT42" s="501">
        <f t="shared" si="48"/>
        <v>0.5365765121017938</v>
      </c>
      <c r="CU42" s="501">
        <f t="shared" si="58"/>
        <v>0.53002694399617589</v>
      </c>
      <c r="CV42" s="501">
        <f t="shared" si="69"/>
        <v>0.52347737589055798</v>
      </c>
      <c r="CW42" s="501">
        <f t="shared" si="81"/>
        <v>0.51692780778494019</v>
      </c>
      <c r="CX42" s="501">
        <f t="shared" si="94"/>
        <v>0.51037823967932228</v>
      </c>
      <c r="CY42" s="502">
        <f t="shared" si="108"/>
        <v>0.50382867157370448</v>
      </c>
    </row>
    <row r="43" spans="1:103" ht="15" customHeight="1" thickBot="1" x14ac:dyDescent="0.35">
      <c r="A43" s="335"/>
      <c r="B43" s="335"/>
      <c r="C43" s="335"/>
      <c r="D43" s="335"/>
      <c r="E43" s="335"/>
      <c r="F43" s="335"/>
      <c r="G43" s="335"/>
      <c r="H43" s="335"/>
      <c r="I43" s="1551" t="s">
        <v>243</v>
      </c>
      <c r="J43" s="1552"/>
      <c r="K43" s="1553"/>
      <c r="L43" s="425">
        <v>0.95899999999999996</v>
      </c>
      <c r="M43" s="369">
        <v>0.95499999999999996</v>
      </c>
      <c r="N43" s="335"/>
      <c r="O43" s="335"/>
      <c r="P43" s="313">
        <v>2047</v>
      </c>
      <c r="Q43" s="314">
        <v>35</v>
      </c>
      <c r="R43" s="336"/>
      <c r="S43" s="308"/>
      <c r="T43" s="308"/>
      <c r="U43" s="308"/>
      <c r="V43" s="308"/>
      <c r="W43" s="329">
        <f t="shared" si="165"/>
        <v>1.1352043599999995</v>
      </c>
      <c r="X43" s="329">
        <f t="shared" si="165"/>
        <v>1.1256053299999995</v>
      </c>
      <c r="Y43" s="329">
        <f t="shared" si="165"/>
        <v>1.1160062999999996</v>
      </c>
      <c r="Z43" s="329">
        <f t="shared" si="165"/>
        <v>1.1064072699999996</v>
      </c>
      <c r="AA43" s="329">
        <f t="shared" si="165"/>
        <v>1.0968082399999997</v>
      </c>
      <c r="AB43" s="329">
        <f t="shared" si="165"/>
        <v>1.0872092099999997</v>
      </c>
      <c r="AC43" s="329">
        <f t="shared" si="165"/>
        <v>1.0776101799999998</v>
      </c>
      <c r="AD43" s="329">
        <f t="shared" si="162"/>
        <v>1.0680111499999998</v>
      </c>
      <c r="AE43" s="337"/>
      <c r="AF43" s="308"/>
      <c r="AG43" s="308"/>
      <c r="AH43" s="308"/>
      <c r="AI43" s="308"/>
      <c r="AJ43" s="329">
        <f t="shared" si="166"/>
        <v>1.2487202800000006</v>
      </c>
      <c r="AK43" s="329">
        <f t="shared" si="166"/>
        <v>1.2347974400000006</v>
      </c>
      <c r="AL43" s="329">
        <f t="shared" si="166"/>
        <v>1.2208746000000006</v>
      </c>
      <c r="AM43" s="329">
        <f t="shared" si="166"/>
        <v>1.2069517600000006</v>
      </c>
      <c r="AN43" s="329">
        <f t="shared" si="166"/>
        <v>1.1930289200000006</v>
      </c>
      <c r="AO43" s="329">
        <f t="shared" si="166"/>
        <v>1.1791060800000006</v>
      </c>
      <c r="AP43" s="329">
        <f t="shared" si="166"/>
        <v>1.1651832400000006</v>
      </c>
      <c r="AQ43" s="331">
        <f t="shared" si="166"/>
        <v>1.1512604000000006</v>
      </c>
      <c r="AR43" s="336"/>
      <c r="AS43" s="308"/>
      <c r="AT43" s="308"/>
      <c r="AU43" s="308"/>
      <c r="AV43" s="308"/>
      <c r="AW43" s="329">
        <f t="shared" si="167"/>
        <v>1.2954428800000022</v>
      </c>
      <c r="AX43" s="329">
        <f t="shared" si="167"/>
        <v>1.2800807900000022</v>
      </c>
      <c r="AY43" s="329">
        <f t="shared" si="167"/>
        <v>1.2647187000000022</v>
      </c>
      <c r="AZ43" s="329">
        <f t="shared" si="167"/>
        <v>1.2493566100000022</v>
      </c>
      <c r="BA43" s="329">
        <f t="shared" si="167"/>
        <v>1.2339945200000022</v>
      </c>
      <c r="BB43" s="329">
        <f t="shared" si="167"/>
        <v>1.2186324300000022</v>
      </c>
      <c r="BC43" s="329">
        <f t="shared" si="167"/>
        <v>1.2032703400000022</v>
      </c>
      <c r="BD43" s="329">
        <f t="shared" si="167"/>
        <v>1.1879082500000022</v>
      </c>
      <c r="BE43" s="335"/>
      <c r="BF43" s="288"/>
      <c r="BG43" s="535"/>
      <c r="BH43" s="515">
        <v>2047</v>
      </c>
      <c r="BI43" s="372">
        <v>37</v>
      </c>
      <c r="BJ43" s="433">
        <f t="shared" si="0"/>
        <v>2.3485425827738324</v>
      </c>
      <c r="BK43" s="435">
        <f t="shared" si="14"/>
        <v>0.17265741462150208</v>
      </c>
      <c r="BL43" s="500"/>
      <c r="BM43" s="501"/>
      <c r="BN43" s="501"/>
      <c r="BO43" s="501"/>
      <c r="BP43" s="501"/>
      <c r="BQ43" s="520">
        <f t="shared" si="29"/>
        <v>0.47200550669646951</v>
      </c>
      <c r="BR43" s="520">
        <f t="shared" si="37"/>
        <v>0.46801433543375115</v>
      </c>
      <c r="BS43" s="520">
        <f t="shared" si="46"/>
        <v>0.46402316417103279</v>
      </c>
      <c r="BT43" s="520">
        <f t="shared" si="56"/>
        <v>0.46003199290831437</v>
      </c>
      <c r="BU43" s="520">
        <f t="shared" si="67"/>
        <v>0.45604082164559601</v>
      </c>
      <c r="BV43" s="520">
        <f t="shared" si="79"/>
        <v>0.45204965038287775</v>
      </c>
      <c r="BW43" s="520">
        <f t="shared" si="92"/>
        <v>0.44805847912015934</v>
      </c>
      <c r="BX43" s="520">
        <f t="shared" si="106"/>
        <v>0.44406730785744097</v>
      </c>
      <c r="BY43" s="500"/>
      <c r="BZ43" s="501"/>
      <c r="CA43" s="501"/>
      <c r="CB43" s="501"/>
      <c r="CC43" s="501"/>
      <c r="CD43" s="501">
        <f t="shared" si="30"/>
        <v>0.50634769521411338</v>
      </c>
      <c r="CE43" s="501">
        <f t="shared" si="38"/>
        <v>0.50070207700982272</v>
      </c>
      <c r="CF43" s="501">
        <f t="shared" si="47"/>
        <v>0.49505645880553217</v>
      </c>
      <c r="CG43" s="501">
        <f t="shared" si="57"/>
        <v>0.48941084060124157</v>
      </c>
      <c r="CH43" s="501">
        <f t="shared" si="68"/>
        <v>0.48376522239695097</v>
      </c>
      <c r="CI43" s="501">
        <f t="shared" si="80"/>
        <v>0.47811960419266036</v>
      </c>
      <c r="CJ43" s="501">
        <f t="shared" si="93"/>
        <v>0.4724739859883697</v>
      </c>
      <c r="CK43" s="502">
        <f t="shared" si="107"/>
        <v>0.4668283677840791</v>
      </c>
      <c r="CM43" s="500"/>
      <c r="CN43" s="501"/>
      <c r="CO43" s="501"/>
      <c r="CP43" s="501"/>
      <c r="CQ43" s="501"/>
      <c r="CR43" s="501">
        <f t="shared" si="31"/>
        <v>0.53863092366094778</v>
      </c>
      <c r="CS43" s="501">
        <f t="shared" si="39"/>
        <v>0.53224353533699276</v>
      </c>
      <c r="CT43" s="501">
        <f t="shared" si="48"/>
        <v>0.52585614701303784</v>
      </c>
      <c r="CU43" s="501">
        <f t="shared" si="58"/>
        <v>0.51946875868908293</v>
      </c>
      <c r="CV43" s="501">
        <f t="shared" si="69"/>
        <v>0.51308137036512791</v>
      </c>
      <c r="CW43" s="501">
        <f t="shared" si="81"/>
        <v>0.50669398204117289</v>
      </c>
      <c r="CX43" s="501">
        <f t="shared" si="94"/>
        <v>0.50030659371721797</v>
      </c>
      <c r="CY43" s="502">
        <f t="shared" si="108"/>
        <v>0.49391920539326301</v>
      </c>
    </row>
    <row r="44" spans="1:103" ht="14.4" x14ac:dyDescent="0.3">
      <c r="A44" s="335"/>
      <c r="B44" s="335"/>
      <c r="C44" s="335"/>
      <c r="D44" s="335"/>
      <c r="E44" s="335"/>
      <c r="F44" s="335"/>
      <c r="G44" s="335"/>
      <c r="H44" s="335"/>
      <c r="I44" s="335"/>
      <c r="J44" s="335"/>
      <c r="K44" s="335"/>
      <c r="L44" s="335"/>
      <c r="M44" s="335"/>
      <c r="N44" s="335"/>
      <c r="O44" s="335"/>
      <c r="P44" s="313">
        <v>2048</v>
      </c>
      <c r="Q44" s="314">
        <v>36</v>
      </c>
      <c r="R44" s="336"/>
      <c r="S44" s="308"/>
      <c r="T44" s="308"/>
      <c r="U44" s="308"/>
      <c r="V44" s="308"/>
      <c r="W44" s="308"/>
      <c r="X44" s="329">
        <f t="shared" si="165"/>
        <v>1.1267173299999995</v>
      </c>
      <c r="Y44" s="329">
        <f t="shared" si="165"/>
        <v>1.1171182999999996</v>
      </c>
      <c r="Z44" s="329">
        <f t="shared" si="165"/>
        <v>1.1075192699999996</v>
      </c>
      <c r="AA44" s="329">
        <f t="shared" si="165"/>
        <v>1.0979202399999997</v>
      </c>
      <c r="AB44" s="329">
        <f t="shared" si="165"/>
        <v>1.0883212099999997</v>
      </c>
      <c r="AC44" s="329">
        <f t="shared" si="165"/>
        <v>1.0787221799999998</v>
      </c>
      <c r="AD44" s="329">
        <f t="shared" si="162"/>
        <v>1.0691231499999998</v>
      </c>
      <c r="AE44" s="337"/>
      <c r="AF44" s="308"/>
      <c r="AG44" s="308"/>
      <c r="AH44" s="308"/>
      <c r="AI44" s="308"/>
      <c r="AJ44" s="308"/>
      <c r="AK44" s="329">
        <f t="shared" si="166"/>
        <v>1.2393333400000006</v>
      </c>
      <c r="AL44" s="329">
        <f t="shared" si="166"/>
        <v>1.2254105000000006</v>
      </c>
      <c r="AM44" s="329">
        <f t="shared" si="166"/>
        <v>1.2114876600000006</v>
      </c>
      <c r="AN44" s="329">
        <f t="shared" si="166"/>
        <v>1.1975648200000006</v>
      </c>
      <c r="AO44" s="329">
        <f t="shared" si="166"/>
        <v>1.1836419800000006</v>
      </c>
      <c r="AP44" s="329">
        <f t="shared" si="166"/>
        <v>1.1697191400000007</v>
      </c>
      <c r="AQ44" s="331">
        <f t="shared" si="166"/>
        <v>1.1557963000000007</v>
      </c>
      <c r="AR44" s="336"/>
      <c r="AS44" s="308"/>
      <c r="AT44" s="308"/>
      <c r="AU44" s="308"/>
      <c r="AV44" s="308"/>
      <c r="AW44" s="308"/>
      <c r="AX44" s="329">
        <f t="shared" si="167"/>
        <v>1.2862528900000023</v>
      </c>
      <c r="AY44" s="329">
        <f t="shared" si="167"/>
        <v>1.2708908000000023</v>
      </c>
      <c r="AZ44" s="329">
        <f t="shared" si="167"/>
        <v>1.2555287100000023</v>
      </c>
      <c r="BA44" s="329">
        <f t="shared" si="167"/>
        <v>1.2401666200000023</v>
      </c>
      <c r="BB44" s="329">
        <f t="shared" si="167"/>
        <v>1.2248045300000023</v>
      </c>
      <c r="BC44" s="329">
        <f t="shared" si="167"/>
        <v>1.2094424400000023</v>
      </c>
      <c r="BD44" s="329">
        <f t="shared" si="167"/>
        <v>1.1940803500000023</v>
      </c>
      <c r="BE44" s="335"/>
      <c r="BF44" s="288"/>
      <c r="BG44" s="535"/>
      <c r="BH44" s="515">
        <v>2048</v>
      </c>
      <c r="BI44" s="372">
        <v>38</v>
      </c>
      <c r="BJ44" s="433">
        <f t="shared" si="0"/>
        <v>2.4049076047604045</v>
      </c>
      <c r="BK44" s="435">
        <f t="shared" si="14"/>
        <v>0.1644356329728591</v>
      </c>
      <c r="BL44" s="500"/>
      <c r="BM44" s="501"/>
      <c r="BN44" s="501"/>
      <c r="BO44" s="501"/>
      <c r="BP44" s="501"/>
      <c r="BQ44" s="501"/>
      <c r="BR44" s="520">
        <f t="shared" si="37"/>
        <v>0.45687631757153735</v>
      </c>
      <c r="BS44" s="520">
        <f t="shared" si="46"/>
        <v>0.45298397531151485</v>
      </c>
      <c r="BT44" s="520">
        <f t="shared" si="56"/>
        <v>0.44909163305149241</v>
      </c>
      <c r="BU44" s="520">
        <f t="shared" si="67"/>
        <v>0.44519929079146991</v>
      </c>
      <c r="BV44" s="520">
        <f t="shared" si="79"/>
        <v>0.44130694853144742</v>
      </c>
      <c r="BW44" s="520">
        <f t="shared" si="92"/>
        <v>0.43741460627142498</v>
      </c>
      <c r="BX44" s="520">
        <f t="shared" si="106"/>
        <v>0.43352226401140248</v>
      </c>
      <c r="BY44" s="500"/>
      <c r="BZ44" s="501"/>
      <c r="CA44" s="501"/>
      <c r="CB44" s="501"/>
      <c r="CC44" s="501"/>
      <c r="CD44" s="501"/>
      <c r="CE44" s="501">
        <f t="shared" si="38"/>
        <v>0.49009747287875455</v>
      </c>
      <c r="CF44" s="501">
        <f t="shared" si="47"/>
        <v>0.4845916509347607</v>
      </c>
      <c r="CG44" s="501">
        <f t="shared" si="57"/>
        <v>0.47908582899076674</v>
      </c>
      <c r="CH44" s="501">
        <f t="shared" si="68"/>
        <v>0.47358000704677283</v>
      </c>
      <c r="CI44" s="501">
        <f t="shared" si="80"/>
        <v>0.46807418510277898</v>
      </c>
      <c r="CJ44" s="501">
        <f t="shared" si="93"/>
        <v>0.46256836315878513</v>
      </c>
      <c r="CK44" s="502">
        <f t="shared" si="107"/>
        <v>0.45706254121479123</v>
      </c>
      <c r="CM44" s="500"/>
      <c r="CN44" s="501"/>
      <c r="CO44" s="501"/>
      <c r="CP44" s="501"/>
      <c r="CQ44" s="501"/>
      <c r="CR44" s="501"/>
      <c r="CS44" s="501">
        <f t="shared" si="39"/>
        <v>0.52156691674295008</v>
      </c>
      <c r="CT44" s="501">
        <f t="shared" si="48"/>
        <v>0.5153376923203502</v>
      </c>
      <c r="CU44" s="501">
        <f t="shared" si="58"/>
        <v>0.50910846789775033</v>
      </c>
      <c r="CV44" s="501">
        <f t="shared" si="69"/>
        <v>0.50287924347515045</v>
      </c>
      <c r="CW44" s="501">
        <f t="shared" si="81"/>
        <v>0.49665001905255057</v>
      </c>
      <c r="CX44" s="501">
        <f t="shared" si="94"/>
        <v>0.49042079462995064</v>
      </c>
      <c r="CY44" s="502">
        <f t="shared" si="108"/>
        <v>0.48419157020735076</v>
      </c>
    </row>
    <row r="45" spans="1:103" ht="14.4" x14ac:dyDescent="0.3">
      <c r="A45" s="335"/>
      <c r="B45" s="335"/>
      <c r="C45" s="335"/>
      <c r="D45" s="335"/>
      <c r="E45" s="335"/>
      <c r="F45" s="335"/>
      <c r="G45" s="335"/>
      <c r="H45" s="335"/>
      <c r="I45" s="335"/>
      <c r="J45" s="335"/>
      <c r="K45" s="335"/>
      <c r="L45" s="335"/>
      <c r="M45" s="335"/>
      <c r="N45" s="335"/>
      <c r="O45" s="335"/>
      <c r="P45" s="313">
        <v>2049</v>
      </c>
      <c r="Q45" s="314">
        <v>37</v>
      </c>
      <c r="R45" s="336"/>
      <c r="S45" s="308"/>
      <c r="T45" s="308"/>
      <c r="U45" s="308"/>
      <c r="V45" s="308"/>
      <c r="W45" s="308"/>
      <c r="X45" s="308"/>
      <c r="Y45" s="329">
        <f t="shared" si="165"/>
        <v>1.1182302999999996</v>
      </c>
      <c r="Z45" s="329">
        <f t="shared" si="165"/>
        <v>1.1086312699999996</v>
      </c>
      <c r="AA45" s="329">
        <f t="shared" si="165"/>
        <v>1.0990322399999997</v>
      </c>
      <c r="AB45" s="329">
        <f t="shared" si="165"/>
        <v>1.0894332099999997</v>
      </c>
      <c r="AC45" s="329">
        <f t="shared" si="165"/>
        <v>1.0798341799999998</v>
      </c>
      <c r="AD45" s="329">
        <f t="shared" si="162"/>
        <v>1.0702351499999998</v>
      </c>
      <c r="AE45" s="337"/>
      <c r="AF45" s="308"/>
      <c r="AG45" s="308"/>
      <c r="AH45" s="308"/>
      <c r="AI45" s="308"/>
      <c r="AJ45" s="308"/>
      <c r="AK45" s="308"/>
      <c r="AL45" s="329">
        <f t="shared" si="166"/>
        <v>1.2299464000000007</v>
      </c>
      <c r="AM45" s="329">
        <f t="shared" si="166"/>
        <v>1.2160235600000007</v>
      </c>
      <c r="AN45" s="329">
        <f t="shared" si="166"/>
        <v>1.2021007200000007</v>
      </c>
      <c r="AO45" s="329">
        <f t="shared" si="166"/>
        <v>1.1881778800000007</v>
      </c>
      <c r="AP45" s="329">
        <f t="shared" si="166"/>
        <v>1.1742550400000007</v>
      </c>
      <c r="AQ45" s="331">
        <f t="shared" si="166"/>
        <v>1.1603322000000007</v>
      </c>
      <c r="AR45" s="336"/>
      <c r="AS45" s="308"/>
      <c r="AT45" s="308"/>
      <c r="AU45" s="308"/>
      <c r="AV45" s="308"/>
      <c r="AW45" s="308"/>
      <c r="AX45" s="308"/>
      <c r="AY45" s="329">
        <f t="shared" si="167"/>
        <v>1.2770629000000024</v>
      </c>
      <c r="AZ45" s="329">
        <f t="shared" si="167"/>
        <v>1.2617008100000024</v>
      </c>
      <c r="BA45" s="329">
        <f t="shared" si="167"/>
        <v>1.2463387200000025</v>
      </c>
      <c r="BB45" s="329">
        <f t="shared" si="167"/>
        <v>1.2309766300000025</v>
      </c>
      <c r="BC45" s="329">
        <f t="shared" si="167"/>
        <v>1.2156145400000025</v>
      </c>
      <c r="BD45" s="329">
        <f t="shared" si="167"/>
        <v>1.2002524500000025</v>
      </c>
      <c r="BE45" s="335"/>
      <c r="BF45" s="288"/>
      <c r="BG45" s="535"/>
      <c r="BH45" s="515">
        <v>2049</v>
      </c>
      <c r="BI45" s="372">
        <v>39</v>
      </c>
      <c r="BJ45" s="433">
        <f t="shared" si="0"/>
        <v>2.4626253872746537</v>
      </c>
      <c r="BK45" s="435">
        <f t="shared" si="14"/>
        <v>0.15660536473605632</v>
      </c>
      <c r="BL45" s="500"/>
      <c r="BM45" s="501"/>
      <c r="BN45" s="501"/>
      <c r="BO45" s="501"/>
      <c r="BP45" s="501"/>
      <c r="BQ45" s="501"/>
      <c r="BR45" s="501"/>
      <c r="BS45" s="520">
        <f t="shared" si="46"/>
        <v>0.44220697244088591</v>
      </c>
      <c r="BT45" s="520">
        <f t="shared" si="56"/>
        <v>0.43841101198920679</v>
      </c>
      <c r="BU45" s="520">
        <f t="shared" si="67"/>
        <v>0.43461505153752777</v>
      </c>
      <c r="BV45" s="520">
        <f t="shared" si="79"/>
        <v>0.4308190910858487</v>
      </c>
      <c r="BW45" s="520">
        <f t="shared" si="92"/>
        <v>0.42702313063416958</v>
      </c>
      <c r="BX45" s="520">
        <f t="shared" si="106"/>
        <v>0.42322717018249056</v>
      </c>
      <c r="BY45" s="500"/>
      <c r="BZ45" s="501"/>
      <c r="CA45" s="501"/>
      <c r="CB45" s="501"/>
      <c r="CC45" s="501"/>
      <c r="CD45" s="501"/>
      <c r="CE45" s="501"/>
      <c r="CF45" s="501">
        <f t="shared" si="47"/>
        <v>0.47434155539377748</v>
      </c>
      <c r="CG45" s="501">
        <f t="shared" si="57"/>
        <v>0.46897206808839681</v>
      </c>
      <c r="CH45" s="501">
        <f t="shared" si="68"/>
        <v>0.46360258078301608</v>
      </c>
      <c r="CI45" s="501">
        <f t="shared" si="80"/>
        <v>0.45823309347763541</v>
      </c>
      <c r="CJ45" s="501">
        <f t="shared" si="93"/>
        <v>0.45286360617225468</v>
      </c>
      <c r="CK45" s="502">
        <f t="shared" si="107"/>
        <v>0.44749411886687401</v>
      </c>
      <c r="CM45" s="500"/>
      <c r="CN45" s="501"/>
      <c r="CO45" s="501"/>
      <c r="CP45" s="501"/>
      <c r="CQ45" s="501"/>
      <c r="CR45" s="501"/>
      <c r="CS45" s="501"/>
      <c r="CT45" s="501">
        <f t="shared" si="48"/>
        <v>0.50501772186425198</v>
      </c>
      <c r="CU45" s="501">
        <f t="shared" si="58"/>
        <v>0.49894274490354512</v>
      </c>
      <c r="CV45" s="501">
        <f t="shared" si="69"/>
        <v>0.49286776794283815</v>
      </c>
      <c r="CW45" s="501">
        <f t="shared" si="81"/>
        <v>0.48679279098213118</v>
      </c>
      <c r="CX45" s="501">
        <f t="shared" si="94"/>
        <v>0.48071781402142433</v>
      </c>
      <c r="CY45" s="502">
        <f t="shared" si="108"/>
        <v>0.47464283706071736</v>
      </c>
    </row>
    <row r="46" spans="1:103" ht="14.4" x14ac:dyDescent="0.3">
      <c r="A46" s="335"/>
      <c r="B46" s="335"/>
      <c r="C46" s="335"/>
      <c r="D46" s="335"/>
      <c r="E46" s="335"/>
      <c r="F46" s="335"/>
      <c r="G46" s="335"/>
      <c r="H46" s="335"/>
      <c r="I46" s="335"/>
      <c r="J46" s="335"/>
      <c r="K46" s="335"/>
      <c r="L46" s="335"/>
      <c r="M46" s="335"/>
      <c r="N46" s="335"/>
      <c r="O46" s="335"/>
      <c r="P46" s="322">
        <v>2050</v>
      </c>
      <c r="Q46" s="323">
        <v>38</v>
      </c>
      <c r="R46" s="340"/>
      <c r="S46" s="341"/>
      <c r="T46" s="341"/>
      <c r="U46" s="341"/>
      <c r="V46" s="341"/>
      <c r="W46" s="341"/>
      <c r="X46" s="341"/>
      <c r="Y46" s="341"/>
      <c r="Z46" s="329">
        <f t="shared" si="165"/>
        <v>1.1097432699999996</v>
      </c>
      <c r="AA46" s="329">
        <f t="shared" si="165"/>
        <v>1.1001442399999997</v>
      </c>
      <c r="AB46" s="329">
        <f t="shared" si="165"/>
        <v>1.0905452099999997</v>
      </c>
      <c r="AC46" s="329">
        <f t="shared" si="165"/>
        <v>1.0809461799999998</v>
      </c>
      <c r="AD46" s="329">
        <f t="shared" si="162"/>
        <v>1.0713471499999998</v>
      </c>
      <c r="AE46" s="343"/>
      <c r="AF46" s="341"/>
      <c r="AG46" s="341"/>
      <c r="AH46" s="341"/>
      <c r="AI46" s="341"/>
      <c r="AJ46" s="341"/>
      <c r="AK46" s="341"/>
      <c r="AL46" s="341"/>
      <c r="AM46" s="342">
        <f t="shared" si="166"/>
        <v>1.2205594600000007</v>
      </c>
      <c r="AN46" s="342">
        <f t="shared" si="166"/>
        <v>1.2066366200000007</v>
      </c>
      <c r="AO46" s="342">
        <f t="shared" si="166"/>
        <v>1.1927137800000007</v>
      </c>
      <c r="AP46" s="342">
        <f t="shared" si="166"/>
        <v>1.1787909400000007</v>
      </c>
      <c r="AQ46" s="344">
        <f t="shared" si="166"/>
        <v>1.1648681000000007</v>
      </c>
      <c r="AR46" s="340"/>
      <c r="AS46" s="341"/>
      <c r="AT46" s="341"/>
      <c r="AU46" s="341"/>
      <c r="AV46" s="341"/>
      <c r="AW46" s="341"/>
      <c r="AX46" s="341"/>
      <c r="AY46" s="341"/>
      <c r="AZ46" s="329">
        <f t="shared" si="167"/>
        <v>1.2678729100000026</v>
      </c>
      <c r="BA46" s="329">
        <f t="shared" si="167"/>
        <v>1.2525108200000026</v>
      </c>
      <c r="BB46" s="329">
        <f t="shared" si="167"/>
        <v>1.2371487300000026</v>
      </c>
      <c r="BC46" s="329">
        <f t="shared" si="167"/>
        <v>1.2217866400000026</v>
      </c>
      <c r="BD46" s="329">
        <f t="shared" si="167"/>
        <v>1.2064245500000026</v>
      </c>
      <c r="BE46" s="335"/>
      <c r="BF46" s="288"/>
      <c r="BG46" s="535"/>
      <c r="BH46" s="515">
        <v>2050</v>
      </c>
      <c r="BI46" s="372">
        <v>40</v>
      </c>
      <c r="BJ46" s="433">
        <f t="shared" si="0"/>
        <v>2.5217283965692463</v>
      </c>
      <c r="BK46" s="435">
        <f t="shared" si="14"/>
        <v>0.14914796641529171</v>
      </c>
      <c r="BL46" s="503"/>
      <c r="BM46" s="504"/>
      <c r="BN46" s="504"/>
      <c r="BO46" s="504"/>
      <c r="BP46" s="504"/>
      <c r="BQ46" s="504"/>
      <c r="BR46" s="504"/>
      <c r="BS46" s="504"/>
      <c r="BT46" s="520">
        <f t="shared" si="56"/>
        <v>0.4279839745696043</v>
      </c>
      <c r="BU46" s="504">
        <f t="shared" si="67"/>
        <v>0.42428200932910964</v>
      </c>
      <c r="BV46" s="522">
        <f t="shared" si="79"/>
        <v>0.42058004408861499</v>
      </c>
      <c r="BW46" s="522">
        <f t="shared" si="92"/>
        <v>0.41687807884812034</v>
      </c>
      <c r="BX46" s="522">
        <f t="shared" si="106"/>
        <v>0.41317611360762579</v>
      </c>
      <c r="BY46" s="503"/>
      <c r="BZ46" s="504"/>
      <c r="CA46" s="504"/>
      <c r="CB46" s="504"/>
      <c r="CC46" s="504"/>
      <c r="CD46" s="504"/>
      <c r="CE46" s="504"/>
      <c r="CF46" s="504"/>
      <c r="CG46" s="501">
        <f t="shared" si="57"/>
        <v>0.45906542675507145</v>
      </c>
      <c r="CH46" s="504">
        <f t="shared" si="68"/>
        <v>0.45382889818296684</v>
      </c>
      <c r="CI46" s="504">
        <f t="shared" si="80"/>
        <v>0.44859236961086224</v>
      </c>
      <c r="CJ46" s="504">
        <f t="shared" si="93"/>
        <v>0.44335584103875764</v>
      </c>
      <c r="CK46" s="523">
        <f t="shared" si="107"/>
        <v>0.43811931246665303</v>
      </c>
      <c r="CM46" s="503"/>
      <c r="CN46" s="504"/>
      <c r="CO46" s="504"/>
      <c r="CP46" s="504"/>
      <c r="CQ46" s="504"/>
      <c r="CR46" s="504"/>
      <c r="CS46" s="504"/>
      <c r="CT46" s="504"/>
      <c r="CU46" s="501">
        <f t="shared" si="58"/>
        <v>0.48896830640021044</v>
      </c>
      <c r="CV46" s="504">
        <f t="shared" si="69"/>
        <v>0.48304375744043526</v>
      </c>
      <c r="CW46" s="504">
        <f t="shared" si="81"/>
        <v>0.47711920848066014</v>
      </c>
      <c r="CX46" s="504">
        <f t="shared" si="94"/>
        <v>0.47119465952088496</v>
      </c>
      <c r="CY46" s="523">
        <f t="shared" si="108"/>
        <v>0.46527011056110984</v>
      </c>
    </row>
    <row r="47" spans="1:103" ht="14.4" x14ac:dyDescent="0.3">
      <c r="A47" s="335"/>
      <c r="B47" s="335"/>
      <c r="C47" s="335"/>
      <c r="D47" s="335"/>
      <c r="E47" s="335"/>
      <c r="F47" s="335"/>
      <c r="G47" s="335"/>
      <c r="H47" s="335"/>
      <c r="I47" s="335"/>
      <c r="J47" s="335"/>
      <c r="K47" s="335"/>
      <c r="L47" s="335"/>
      <c r="M47" s="335"/>
      <c r="N47" s="335"/>
      <c r="O47" s="335"/>
      <c r="P47" s="324">
        <v>2051</v>
      </c>
      <c r="Q47" s="325">
        <v>39</v>
      </c>
      <c r="R47" s="345"/>
      <c r="S47" s="346"/>
      <c r="T47" s="346"/>
      <c r="U47" s="346"/>
      <c r="V47" s="346"/>
      <c r="W47" s="346"/>
      <c r="X47" s="346"/>
      <c r="Y47" s="346"/>
      <c r="Z47" s="346"/>
      <c r="AA47" s="347">
        <f>$G$8+(AA46-1)</f>
        <v>1.1001442399999997</v>
      </c>
      <c r="AB47" s="347">
        <f t="shared" ref="AB47:AD50" si="168">$G$8+(AB46-1)</f>
        <v>1.0905452099999997</v>
      </c>
      <c r="AC47" s="347">
        <f t="shared" si="168"/>
        <v>1.0809461799999998</v>
      </c>
      <c r="AD47" s="349">
        <f t="shared" si="168"/>
        <v>1.0713471499999998</v>
      </c>
      <c r="AE47" s="348"/>
      <c r="AF47" s="346"/>
      <c r="AG47" s="346"/>
      <c r="AH47" s="346"/>
      <c r="AI47" s="346"/>
      <c r="AJ47" s="346"/>
      <c r="AK47" s="346"/>
      <c r="AL47" s="346"/>
      <c r="AM47" s="346"/>
      <c r="AN47" s="347">
        <f>$J$8+(AN46-1)</f>
        <v>1.2066366200000007</v>
      </c>
      <c r="AO47" s="347">
        <f>$J$8+(AO46-1)</f>
        <v>1.1927137800000007</v>
      </c>
      <c r="AP47" s="347">
        <f>$J$8+(AP46-1)</f>
        <v>1.1787909400000007</v>
      </c>
      <c r="AQ47" s="349">
        <f t="shared" ref="AQ47:AQ49" si="169">$J$8+(AQ46-1)</f>
        <v>1.1648681000000007</v>
      </c>
      <c r="AR47" s="345"/>
      <c r="AS47" s="346"/>
      <c r="AT47" s="346"/>
      <c r="AU47" s="346"/>
      <c r="AV47" s="346"/>
      <c r="AW47" s="346"/>
      <c r="AX47" s="346"/>
      <c r="AY47" s="346"/>
      <c r="AZ47" s="346"/>
      <c r="BA47" s="347">
        <f>$M$8+(BA46-1)</f>
        <v>1.2525108200000026</v>
      </c>
      <c r="BB47" s="347">
        <f t="shared" ref="BB47:BD50" si="170">$M$8+(BB46-1)</f>
        <v>1.2371487300000026</v>
      </c>
      <c r="BC47" s="347">
        <f t="shared" si="170"/>
        <v>1.2217866400000026</v>
      </c>
      <c r="BD47" s="347">
        <f t="shared" si="170"/>
        <v>1.2064245500000026</v>
      </c>
      <c r="BE47" s="335"/>
      <c r="BF47" s="288"/>
      <c r="BG47" s="535"/>
      <c r="BH47" s="515">
        <v>2051</v>
      </c>
      <c r="BI47" s="372">
        <v>41</v>
      </c>
      <c r="BJ47" s="433">
        <f t="shared" si="0"/>
        <v>2.5822498780869076</v>
      </c>
      <c r="BK47" s="435">
        <f t="shared" si="14"/>
        <v>0.14204568230027784</v>
      </c>
      <c r="BL47" s="505"/>
      <c r="BM47" s="506"/>
      <c r="BN47" s="506"/>
      <c r="BO47" s="506"/>
      <c r="BP47" s="506"/>
      <c r="BQ47" s="506"/>
      <c r="BR47" s="506"/>
      <c r="BS47" s="506"/>
      <c r="BT47" s="506"/>
      <c r="BU47" s="520">
        <f t="shared" si="67"/>
        <v>0.41377597862191268</v>
      </c>
      <c r="BV47" s="520">
        <f t="shared" si="79"/>
        <v>0.41016568109213508</v>
      </c>
      <c r="BW47" s="520">
        <f t="shared" si="92"/>
        <v>0.40655538356235743</v>
      </c>
      <c r="BX47" s="520">
        <f t="shared" si="106"/>
        <v>0.40294508603257978</v>
      </c>
      <c r="BY47" s="505"/>
      <c r="BZ47" s="506"/>
      <c r="CA47" s="506"/>
      <c r="CB47" s="506"/>
      <c r="CC47" s="506"/>
      <c r="CD47" s="506"/>
      <c r="CE47" s="506"/>
      <c r="CF47" s="506"/>
      <c r="CG47" s="506"/>
      <c r="CH47" s="501">
        <f t="shared" si="68"/>
        <v>0.44259123022795999</v>
      </c>
      <c r="CI47" s="501">
        <f t="shared" si="80"/>
        <v>0.43748436807764085</v>
      </c>
      <c r="CJ47" s="501">
        <f t="shared" si="93"/>
        <v>0.43237750592732171</v>
      </c>
      <c r="CK47" s="502">
        <f t="shared" si="107"/>
        <v>0.42727064377700252</v>
      </c>
      <c r="CM47" s="505"/>
      <c r="CN47" s="506"/>
      <c r="CO47" s="506"/>
      <c r="CP47" s="506"/>
      <c r="CQ47" s="506"/>
      <c r="CR47" s="506"/>
      <c r="CS47" s="506"/>
      <c r="CT47" s="506"/>
      <c r="CU47" s="506"/>
      <c r="CV47" s="501">
        <f t="shared" si="69"/>
        <v>0.47108267392286263</v>
      </c>
      <c r="CW47" s="501">
        <f t="shared" si="81"/>
        <v>0.46530482808018669</v>
      </c>
      <c r="CX47" s="501">
        <f t="shared" si="94"/>
        <v>0.45952698223751071</v>
      </c>
      <c r="CY47" s="502">
        <f t="shared" si="108"/>
        <v>0.45374913639483483</v>
      </c>
    </row>
    <row r="48" spans="1:103" ht="14.4" x14ac:dyDescent="0.3">
      <c r="A48" s="335"/>
      <c r="B48" s="335"/>
      <c r="C48" s="335"/>
      <c r="D48" s="335"/>
      <c r="E48" s="335"/>
      <c r="F48" s="335"/>
      <c r="G48" s="335"/>
      <c r="H48" s="335"/>
      <c r="I48" s="335"/>
      <c r="J48" s="335"/>
      <c r="K48" s="335"/>
      <c r="L48" s="335"/>
      <c r="M48" s="335"/>
      <c r="N48" s="335"/>
      <c r="O48" s="335"/>
      <c r="P48" s="313">
        <v>2052</v>
      </c>
      <c r="Q48" s="314">
        <v>40</v>
      </c>
      <c r="R48" s="350"/>
      <c r="S48" s="308"/>
      <c r="T48" s="308"/>
      <c r="U48" s="308"/>
      <c r="V48" s="308"/>
      <c r="W48" s="308"/>
      <c r="X48" s="308"/>
      <c r="Y48" s="308"/>
      <c r="Z48" s="308"/>
      <c r="AA48" s="308"/>
      <c r="AB48" s="351">
        <f t="shared" si="168"/>
        <v>1.0905452099999997</v>
      </c>
      <c r="AC48" s="351">
        <f t="shared" si="168"/>
        <v>1.0809461799999998</v>
      </c>
      <c r="AD48" s="353">
        <f t="shared" si="168"/>
        <v>1.0713471499999998</v>
      </c>
      <c r="AE48" s="352"/>
      <c r="AF48" s="308"/>
      <c r="AG48" s="308"/>
      <c r="AH48" s="308"/>
      <c r="AI48" s="308"/>
      <c r="AJ48" s="308"/>
      <c r="AK48" s="308"/>
      <c r="AL48" s="308"/>
      <c r="AM48" s="308"/>
      <c r="AN48" s="308"/>
      <c r="AO48" s="351">
        <f>$J$8+(AO47-1)</f>
        <v>1.1927137800000007</v>
      </c>
      <c r="AP48" s="351">
        <f>$J$8+(AP47-1)</f>
        <v>1.1787909400000007</v>
      </c>
      <c r="AQ48" s="353">
        <f t="shared" si="169"/>
        <v>1.1648681000000007</v>
      </c>
      <c r="AR48" s="350"/>
      <c r="AS48" s="308"/>
      <c r="AT48" s="308"/>
      <c r="AU48" s="308"/>
      <c r="AV48" s="308"/>
      <c r="AW48" s="308"/>
      <c r="AX48" s="308"/>
      <c r="AY48" s="308"/>
      <c r="AZ48" s="308"/>
      <c r="BA48" s="308"/>
      <c r="BB48" s="351">
        <f t="shared" si="170"/>
        <v>1.2371487300000026</v>
      </c>
      <c r="BC48" s="351">
        <f t="shared" si="170"/>
        <v>1.2217866400000026</v>
      </c>
      <c r="BD48" s="347">
        <f t="shared" si="170"/>
        <v>1.2064245500000026</v>
      </c>
      <c r="BE48" s="335"/>
      <c r="BF48" s="288"/>
      <c r="BG48" s="535"/>
      <c r="BH48" s="515">
        <v>2052</v>
      </c>
      <c r="BI48" s="372">
        <v>42</v>
      </c>
      <c r="BJ48" s="433">
        <f t="shared" si="0"/>
        <v>2.6442238751609932</v>
      </c>
      <c r="BK48" s="435">
        <f t="shared" si="14"/>
        <v>0.13528160219074079</v>
      </c>
      <c r="BL48" s="507"/>
      <c r="BM48" s="501"/>
      <c r="BN48" s="501"/>
      <c r="BO48" s="501"/>
      <c r="BP48" s="501"/>
      <c r="BQ48" s="501"/>
      <c r="BR48" s="501"/>
      <c r="BS48" s="501"/>
      <c r="BT48" s="501"/>
      <c r="BU48" s="501"/>
      <c r="BV48" s="520">
        <f t="shared" si="79"/>
        <v>0.40000919756032982</v>
      </c>
      <c r="BW48" s="520">
        <f t="shared" si="92"/>
        <v>0.39648829787414669</v>
      </c>
      <c r="BX48" s="520">
        <f t="shared" si="106"/>
        <v>0.3929673981879635</v>
      </c>
      <c r="BY48" s="507"/>
      <c r="BZ48" s="501"/>
      <c r="CA48" s="501"/>
      <c r="CB48" s="501"/>
      <c r="CC48" s="501"/>
      <c r="CD48" s="501"/>
      <c r="CE48" s="501"/>
      <c r="CF48" s="501"/>
      <c r="CG48" s="501"/>
      <c r="CH48" s="501"/>
      <c r="CI48" s="501">
        <f t="shared" si="80"/>
        <v>0.4266514218204801</v>
      </c>
      <c r="CJ48" s="501">
        <f t="shared" si="93"/>
        <v>0.42167101530435935</v>
      </c>
      <c r="CK48" s="502">
        <f t="shared" si="107"/>
        <v>0.4166906087882386</v>
      </c>
      <c r="CM48" s="507"/>
      <c r="CN48" s="501"/>
      <c r="CO48" s="501"/>
      <c r="CP48" s="501"/>
      <c r="CQ48" s="501"/>
      <c r="CR48" s="501"/>
      <c r="CS48" s="501"/>
      <c r="CT48" s="501"/>
      <c r="CU48" s="501"/>
      <c r="CV48" s="501"/>
      <c r="CW48" s="501">
        <f t="shared" si="81"/>
        <v>0.45378299424201063</v>
      </c>
      <c r="CX48" s="501">
        <f t="shared" si="94"/>
        <v>0.44814821886781997</v>
      </c>
      <c r="CY48" s="502">
        <f t="shared" si="108"/>
        <v>0.44251344349362931</v>
      </c>
    </row>
    <row r="49" spans="1:103" ht="14.4" x14ac:dyDescent="0.3">
      <c r="A49" s="335"/>
      <c r="B49" s="335"/>
      <c r="C49" s="335"/>
      <c r="D49" s="335"/>
      <c r="E49" s="335"/>
      <c r="F49" s="335"/>
      <c r="G49" s="335"/>
      <c r="H49" s="335"/>
      <c r="I49" s="335"/>
      <c r="J49" s="335"/>
      <c r="K49" s="335"/>
      <c r="L49" s="335"/>
      <c r="M49" s="335"/>
      <c r="N49" s="335"/>
      <c r="O49" s="335"/>
      <c r="P49" s="313">
        <v>2053</v>
      </c>
      <c r="Q49" s="314">
        <v>41</v>
      </c>
      <c r="R49" s="336"/>
      <c r="S49" s="308"/>
      <c r="T49" s="308"/>
      <c r="U49" s="308"/>
      <c r="V49" s="308"/>
      <c r="W49" s="308"/>
      <c r="X49" s="308"/>
      <c r="Y49" s="308"/>
      <c r="Z49" s="308"/>
      <c r="AA49" s="308"/>
      <c r="AB49" s="308"/>
      <c r="AC49" s="351">
        <f t="shared" si="168"/>
        <v>1.0809461799999998</v>
      </c>
      <c r="AD49" s="353">
        <f t="shared" si="168"/>
        <v>1.0713471499999998</v>
      </c>
      <c r="AE49" s="337"/>
      <c r="AF49" s="308"/>
      <c r="AG49" s="308"/>
      <c r="AH49" s="308"/>
      <c r="AI49" s="308"/>
      <c r="AJ49" s="308"/>
      <c r="AK49" s="308"/>
      <c r="AL49" s="308"/>
      <c r="AM49" s="308"/>
      <c r="AN49" s="308"/>
      <c r="AO49" s="308"/>
      <c r="AP49" s="351">
        <f>$J$8+(AP48-1)</f>
        <v>1.1787909400000007</v>
      </c>
      <c r="AQ49" s="353">
        <f t="shared" si="169"/>
        <v>1.1648681000000007</v>
      </c>
      <c r="AR49" s="336"/>
      <c r="AS49" s="308"/>
      <c r="AT49" s="308"/>
      <c r="AU49" s="308"/>
      <c r="AV49" s="308"/>
      <c r="AW49" s="308"/>
      <c r="AX49" s="308"/>
      <c r="AY49" s="308"/>
      <c r="AZ49" s="308"/>
      <c r="BA49" s="308"/>
      <c r="BB49" s="308"/>
      <c r="BC49" s="351">
        <f t="shared" si="170"/>
        <v>1.2217866400000026</v>
      </c>
      <c r="BD49" s="351">
        <f t="shared" si="170"/>
        <v>1.2064245500000026</v>
      </c>
      <c r="BE49" s="335"/>
      <c r="BF49" s="288"/>
      <c r="BG49" s="535"/>
      <c r="BH49" s="515">
        <v>2053</v>
      </c>
      <c r="BI49" s="372">
        <v>43</v>
      </c>
      <c r="BJ49" s="433">
        <f t="shared" si="0"/>
        <v>2.7076852481648572</v>
      </c>
      <c r="BK49" s="435">
        <f t="shared" si="14"/>
        <v>0.12883962113403885</v>
      </c>
      <c r="BL49" s="500"/>
      <c r="BM49" s="501"/>
      <c r="BN49" s="501"/>
      <c r="BO49" s="501"/>
      <c r="BP49" s="501"/>
      <c r="BQ49" s="501"/>
      <c r="BR49" s="501"/>
      <c r="BS49" s="501"/>
      <c r="BT49" s="501"/>
      <c r="BU49" s="501"/>
      <c r="BV49" s="501"/>
      <c r="BW49" s="520">
        <f t="shared" si="92"/>
        <v>0.38667049240297724</v>
      </c>
      <c r="BX49" s="520">
        <f t="shared" si="106"/>
        <v>0.38323677689949964</v>
      </c>
      <c r="BY49" s="500"/>
      <c r="BZ49" s="501"/>
      <c r="CA49" s="501"/>
      <c r="CB49" s="501"/>
      <c r="CC49" s="501"/>
      <c r="CD49" s="501"/>
      <c r="CE49" s="501"/>
      <c r="CF49" s="501"/>
      <c r="CG49" s="501"/>
      <c r="CH49" s="501"/>
      <c r="CI49" s="501"/>
      <c r="CJ49" s="501">
        <f t="shared" si="93"/>
        <v>0.41122963778253718</v>
      </c>
      <c r="CK49" s="502">
        <f t="shared" si="107"/>
        <v>0.4063725556182442</v>
      </c>
      <c r="CM49" s="500"/>
      <c r="CN49" s="501"/>
      <c r="CO49" s="501"/>
      <c r="CP49" s="501"/>
      <c r="CQ49" s="501"/>
      <c r="CR49" s="501"/>
      <c r="CS49" s="501"/>
      <c r="CT49" s="501"/>
      <c r="CU49" s="501"/>
      <c r="CV49" s="501"/>
      <c r="CW49" s="501"/>
      <c r="CX49" s="501">
        <f t="shared" si="94"/>
        <v>0.43705121535299774</v>
      </c>
      <c r="CY49" s="502">
        <f t="shared" si="108"/>
        <v>0.43155596774997745</v>
      </c>
    </row>
    <row r="50" spans="1:103" ht="15" thickBot="1" x14ac:dyDescent="0.35">
      <c r="A50" s="335"/>
      <c r="B50" s="335"/>
      <c r="C50" s="335"/>
      <c r="D50" s="335"/>
      <c r="E50" s="335"/>
      <c r="F50" s="335"/>
      <c r="G50" s="335"/>
      <c r="H50" s="335"/>
      <c r="I50" s="335"/>
      <c r="J50" s="335"/>
      <c r="K50" s="335"/>
      <c r="L50" s="335"/>
      <c r="M50" s="335"/>
      <c r="N50" s="335"/>
      <c r="O50" s="335"/>
      <c r="P50" s="313">
        <v>2054</v>
      </c>
      <c r="Q50" s="314">
        <v>42</v>
      </c>
      <c r="R50" s="336"/>
      <c r="S50" s="308"/>
      <c r="T50" s="308"/>
      <c r="U50" s="308"/>
      <c r="V50" s="308"/>
      <c r="W50" s="308"/>
      <c r="X50" s="308"/>
      <c r="Y50" s="308"/>
      <c r="Z50" s="308"/>
      <c r="AA50" s="308"/>
      <c r="AB50" s="308"/>
      <c r="AC50" s="308"/>
      <c r="AD50" s="351">
        <f t="shared" si="168"/>
        <v>1.0713471499999998</v>
      </c>
      <c r="AE50" s="337"/>
      <c r="AF50" s="308"/>
      <c r="AG50" s="308"/>
      <c r="AH50" s="308"/>
      <c r="AI50" s="308"/>
      <c r="AJ50" s="308"/>
      <c r="AK50" s="308"/>
      <c r="AL50" s="308"/>
      <c r="AM50" s="308"/>
      <c r="AN50" s="308"/>
      <c r="AO50" s="308"/>
      <c r="AP50" s="308"/>
      <c r="AQ50" s="353">
        <f>$J$8+(AQ49-1)</f>
        <v>1.1648681000000007</v>
      </c>
      <c r="AR50" s="336"/>
      <c r="AS50" s="308"/>
      <c r="AT50" s="308"/>
      <c r="AU50" s="308"/>
      <c r="AV50" s="308"/>
      <c r="AW50" s="308"/>
      <c r="AX50" s="308"/>
      <c r="AY50" s="308"/>
      <c r="AZ50" s="308"/>
      <c r="BA50" s="308"/>
      <c r="BB50" s="308"/>
      <c r="BC50" s="308"/>
      <c r="BD50" s="519">
        <f t="shared" si="170"/>
        <v>1.2064245500000026</v>
      </c>
      <c r="BE50" s="335"/>
      <c r="BF50" s="288"/>
      <c r="BG50" s="535"/>
      <c r="BH50" s="515">
        <v>2054</v>
      </c>
      <c r="BI50" s="372">
        <v>44</v>
      </c>
      <c r="BJ50" s="433">
        <f t="shared" si="0"/>
        <v>2.7726696941208142</v>
      </c>
      <c r="BK50" s="435">
        <f t="shared" si="14"/>
        <v>0.12270440108003698</v>
      </c>
      <c r="BL50" s="500"/>
      <c r="BM50" s="501"/>
      <c r="BN50" s="501"/>
      <c r="BO50" s="501"/>
      <c r="BP50" s="501"/>
      <c r="BQ50" s="501"/>
      <c r="BR50" s="501"/>
      <c r="BS50" s="501"/>
      <c r="BT50" s="501"/>
      <c r="BU50" s="501"/>
      <c r="BV50" s="501"/>
      <c r="BW50" s="501"/>
      <c r="BX50" s="520">
        <f t="shared" si="106"/>
        <v>0.37374710432865488</v>
      </c>
      <c r="BY50" s="500"/>
      <c r="BZ50" s="501"/>
      <c r="CA50" s="501"/>
      <c r="CB50" s="501"/>
      <c r="CC50" s="501"/>
      <c r="CD50" s="501"/>
      <c r="CE50" s="501"/>
      <c r="CF50" s="501"/>
      <c r="CG50" s="501"/>
      <c r="CH50" s="501"/>
      <c r="CI50" s="501"/>
      <c r="CJ50" s="501"/>
      <c r="CK50" s="502">
        <f t="shared" si="107"/>
        <v>0.39630999709817333</v>
      </c>
      <c r="CM50" s="500"/>
      <c r="CN50" s="501"/>
      <c r="CO50" s="501"/>
      <c r="CP50" s="501"/>
      <c r="CQ50" s="501"/>
      <c r="CR50" s="501"/>
      <c r="CS50" s="501"/>
      <c r="CT50" s="501"/>
      <c r="CU50" s="501"/>
      <c r="CV50" s="501"/>
      <c r="CW50" s="501"/>
      <c r="CX50" s="501"/>
      <c r="CY50" s="524">
        <f t="shared" si="108"/>
        <v>0.42086981997712092</v>
      </c>
    </row>
    <row r="51" spans="1:103" ht="15" thickBot="1" x14ac:dyDescent="0.35">
      <c r="A51" s="335"/>
      <c r="B51" s="335"/>
      <c r="C51" s="335"/>
      <c r="D51" s="335"/>
      <c r="E51" s="335"/>
      <c r="F51" s="335"/>
      <c r="G51" s="335"/>
      <c r="H51" s="335"/>
      <c r="I51" s="335"/>
      <c r="J51" s="335"/>
      <c r="K51" s="335"/>
      <c r="L51" s="335"/>
      <c r="M51" s="335"/>
      <c r="N51" s="335"/>
      <c r="O51" s="335"/>
      <c r="P51" s="1543"/>
      <c r="Q51" s="1545"/>
      <c r="R51" s="528">
        <f t="shared" ref="R51:BD51" si="171">SUM(R9:R50)</f>
        <v>33.691229219999983</v>
      </c>
      <c r="S51" s="526">
        <f t="shared" si="171"/>
        <v>33.572410799999986</v>
      </c>
      <c r="T51" s="526">
        <f t="shared" si="171"/>
        <v>33.445105349999977</v>
      </c>
      <c r="U51" s="526">
        <f t="shared" si="171"/>
        <v>33.309312869999978</v>
      </c>
      <c r="V51" s="526">
        <f t="shared" si="171"/>
        <v>33.165033359999988</v>
      </c>
      <c r="W51" s="526">
        <f t="shared" si="171"/>
        <v>33.012266819999979</v>
      </c>
      <c r="X51" s="526">
        <f t="shared" si="171"/>
        <v>32.851013249999987</v>
      </c>
      <c r="Y51" s="526">
        <f t="shared" si="171"/>
        <v>32.681272649999983</v>
      </c>
      <c r="Z51" s="526">
        <f t="shared" si="171"/>
        <v>32.503045019999995</v>
      </c>
      <c r="AA51" s="526">
        <f t="shared" si="171"/>
        <v>32.315218359999982</v>
      </c>
      <c r="AB51" s="526">
        <f t="shared" si="171"/>
        <v>32.117792669999993</v>
      </c>
      <c r="AC51" s="526">
        <f t="shared" si="171"/>
        <v>31.910767949999979</v>
      </c>
      <c r="AD51" s="529">
        <f t="shared" si="171"/>
        <v>31.6941442</v>
      </c>
      <c r="AE51" s="527">
        <f t="shared" si="171"/>
        <v>35.619909060000005</v>
      </c>
      <c r="AF51" s="526">
        <f t="shared" si="171"/>
        <v>35.488491900000014</v>
      </c>
      <c r="AG51" s="526">
        <f t="shared" si="171"/>
        <v>35.347687800000003</v>
      </c>
      <c r="AH51" s="526">
        <f t="shared" si="171"/>
        <v>35.197496759999993</v>
      </c>
      <c r="AI51" s="526">
        <f t="shared" si="171"/>
        <v>35.037918780000005</v>
      </c>
      <c r="AJ51" s="526">
        <f t="shared" si="171"/>
        <v>34.868953860000005</v>
      </c>
      <c r="AK51" s="526">
        <f t="shared" si="171"/>
        <v>34.690602000000005</v>
      </c>
      <c r="AL51" s="526">
        <f t="shared" si="171"/>
        <v>34.502863200000014</v>
      </c>
      <c r="AM51" s="526">
        <f t="shared" si="171"/>
        <v>34.30573746000001</v>
      </c>
      <c r="AN51" s="526">
        <f t="shared" si="171"/>
        <v>34.094688880000007</v>
      </c>
      <c r="AO51" s="526">
        <f t="shared" si="171"/>
        <v>33.869717460000004</v>
      </c>
      <c r="AP51" s="526">
        <f t="shared" si="171"/>
        <v>33.630823200000009</v>
      </c>
      <c r="AQ51" s="525">
        <f t="shared" si="171"/>
        <v>33.378006100000007</v>
      </c>
      <c r="AR51" s="528">
        <f t="shared" si="171"/>
        <v>36.307082760000014</v>
      </c>
      <c r="AS51" s="526">
        <f t="shared" si="171"/>
        <v>36.178422900000008</v>
      </c>
      <c r="AT51" s="526">
        <f t="shared" si="171"/>
        <v>36.040573050000027</v>
      </c>
      <c r="AU51" s="526">
        <f t="shared" si="171"/>
        <v>35.893533210000015</v>
      </c>
      <c r="AV51" s="526">
        <f t="shared" si="171"/>
        <v>35.737303380000021</v>
      </c>
      <c r="AW51" s="526">
        <f t="shared" si="171"/>
        <v>35.571883560000025</v>
      </c>
      <c r="AX51" s="526">
        <f t="shared" si="171"/>
        <v>35.397273750000011</v>
      </c>
      <c r="AY51" s="526">
        <f t="shared" si="171"/>
        <v>35.213473950000029</v>
      </c>
      <c r="AZ51" s="526">
        <f t="shared" si="171"/>
        <v>35.020484160000024</v>
      </c>
      <c r="BA51" s="526">
        <f t="shared" si="171"/>
        <v>34.812132280000043</v>
      </c>
      <c r="BB51" s="526">
        <f t="shared" si="171"/>
        <v>34.588418310000037</v>
      </c>
      <c r="BC51" s="526">
        <f t="shared" si="171"/>
        <v>34.349342250000042</v>
      </c>
      <c r="BD51" s="525">
        <f t="shared" si="171"/>
        <v>34.094904100000036</v>
      </c>
      <c r="BE51" s="335"/>
      <c r="BF51" s="288"/>
      <c r="BG51" s="288"/>
      <c r="BH51" s="288"/>
      <c r="BI51" s="288"/>
      <c r="BJ51" s="433"/>
      <c r="BK51" s="288"/>
      <c r="BL51" s="530">
        <f t="shared" ref="BL51:BX51" si="172">SUM(BL9:BL50)</f>
        <v>23.144006357544971</v>
      </c>
      <c r="BM51" s="532">
        <f t="shared" si="172"/>
        <v>22.506304999634022</v>
      </c>
      <c r="BN51" s="532">
        <f t="shared" si="172"/>
        <v>21.880589849100083</v>
      </c>
      <c r="BO51" s="532">
        <f t="shared" si="172"/>
        <v>21.266658311108841</v>
      </c>
      <c r="BP51" s="532">
        <f t="shared" si="172"/>
        <v>20.664310474727799</v>
      </c>
      <c r="BQ51" s="532">
        <f t="shared" si="172"/>
        <v>20.073349104230672</v>
      </c>
      <c r="BR51" s="532">
        <f t="shared" si="172"/>
        <v>19.493579629186748</v>
      </c>
      <c r="BS51" s="532">
        <f t="shared" si="172"/>
        <v>18.924810133400737</v>
      </c>
      <c r="BT51" s="532">
        <f t="shared" si="172"/>
        <v>18.366851342766203</v>
      </c>
      <c r="BU51" s="532">
        <f t="shared" si="172"/>
        <v>17.819098377036667</v>
      </c>
      <c r="BV51" s="532">
        <f t="shared" si="172"/>
        <v>17.281387918391378</v>
      </c>
      <c r="BW51" s="532">
        <f t="shared" si="172"/>
        <v>16.753558479409079</v>
      </c>
      <c r="BX51" s="531">
        <f t="shared" si="172"/>
        <v>16.23545041255818</v>
      </c>
      <c r="BY51" s="530">
        <f t="shared" ref="BY51:CK51" si="173">SUM(BY9:BY50)</f>
        <v>24.329112557025113</v>
      </c>
      <c r="BZ51" s="532">
        <f t="shared" si="173"/>
        <v>23.069466532532704</v>
      </c>
      <c r="CA51" s="532">
        <f t="shared" si="173"/>
        <v>22.424425767455141</v>
      </c>
      <c r="CB51" s="532">
        <f t="shared" si="173"/>
        <v>21.791355354531831</v>
      </c>
      <c r="CC51" s="532">
        <f t="shared" si="173"/>
        <v>21.170057984311121</v>
      </c>
      <c r="CD51" s="532">
        <f t="shared" si="173"/>
        <v>20.560338779212604</v>
      </c>
      <c r="CE51" s="532">
        <f t="shared" si="173"/>
        <v>19.962005294072178</v>
      </c>
      <c r="CF51" s="532">
        <f t="shared" si="173"/>
        <v>19.374867515169161</v>
      </c>
      <c r="CG51" s="532">
        <f t="shared" si="173"/>
        <v>18.798737857810014</v>
      </c>
      <c r="CH51" s="532">
        <f t="shared" si="173"/>
        <v>18.231767406006593</v>
      </c>
      <c r="CI51" s="532">
        <f t="shared" si="173"/>
        <v>17.673855816017419</v>
      </c>
      <c r="CJ51" s="532">
        <f t="shared" si="173"/>
        <v>17.124902097520824</v>
      </c>
      <c r="CK51" s="531">
        <f t="shared" si="173"/>
        <v>16.584804707162021</v>
      </c>
      <c r="CM51" s="530">
        <f t="shared" ref="CM51:CY51" si="174">SUM(CM9:CM50)</f>
        <v>24.747211183423389</v>
      </c>
      <c r="CN51" s="532">
        <f t="shared" si="174"/>
        <v>24.064459792671162</v>
      </c>
      <c r="CO51" s="532">
        <f t="shared" si="174"/>
        <v>23.394495017047539</v>
      </c>
      <c r="CP51" s="532">
        <f t="shared" si="174"/>
        <v>22.737102244991657</v>
      </c>
      <c r="CQ51" s="532">
        <f t="shared" si="174"/>
        <v>22.092069653186947</v>
      </c>
      <c r="CR51" s="532">
        <f t="shared" si="174"/>
        <v>21.459188200066272</v>
      </c>
      <c r="CS51" s="532">
        <f t="shared" si="174"/>
        <v>20.838251617928854</v>
      </c>
      <c r="CT51" s="532">
        <f t="shared" si="174"/>
        <v>20.229056403742156</v>
      </c>
      <c r="CU51" s="532">
        <f t="shared" si="174"/>
        <v>19.631401808698392</v>
      </c>
      <c r="CV51" s="532">
        <f t="shared" si="174"/>
        <v>19.042768433974938</v>
      </c>
      <c r="CW51" s="532">
        <f t="shared" si="174"/>
        <v>18.463075967441885</v>
      </c>
      <c r="CX51" s="532">
        <f t="shared" si="174"/>
        <v>17.892242542953287</v>
      </c>
      <c r="CY51" s="531">
        <f t="shared" si="174"/>
        <v>17.330184866551555</v>
      </c>
    </row>
    <row r="52" spans="1:103" x14ac:dyDescent="0.3">
      <c r="A52" s="335"/>
      <c r="B52" s="335"/>
      <c r="C52" s="335"/>
      <c r="D52" s="335"/>
      <c r="E52" s="335"/>
      <c r="F52" s="335"/>
      <c r="G52" s="335"/>
      <c r="H52" s="335"/>
      <c r="I52" s="335"/>
      <c r="J52" s="335"/>
      <c r="K52" s="335"/>
      <c r="L52" s="335"/>
      <c r="M52" s="335"/>
      <c r="N52" s="335"/>
      <c r="O52" s="335"/>
      <c r="P52" s="478"/>
      <c r="Q52" s="478"/>
      <c r="R52" s="479">
        <f>R7</f>
        <v>2013</v>
      </c>
      <c r="S52" s="479">
        <f t="shared" ref="S52:AD52" si="175">S7</f>
        <v>2014</v>
      </c>
      <c r="T52" s="479">
        <f t="shared" si="175"/>
        <v>2015</v>
      </c>
      <c r="U52" s="479">
        <f t="shared" si="175"/>
        <v>2016</v>
      </c>
      <c r="V52" s="479">
        <f t="shared" si="175"/>
        <v>2017</v>
      </c>
      <c r="W52" s="479">
        <f t="shared" si="175"/>
        <v>2018</v>
      </c>
      <c r="X52" s="479">
        <f t="shared" si="175"/>
        <v>2019</v>
      </c>
      <c r="Y52" s="479">
        <f t="shared" si="175"/>
        <v>2020</v>
      </c>
      <c r="Z52" s="479">
        <f t="shared" si="175"/>
        <v>2021</v>
      </c>
      <c r="AA52" s="479">
        <f t="shared" si="175"/>
        <v>2022</v>
      </c>
      <c r="AB52" s="479">
        <f t="shared" si="175"/>
        <v>2023</v>
      </c>
      <c r="AC52" s="479">
        <f t="shared" si="175"/>
        <v>2024</v>
      </c>
      <c r="AD52" s="479">
        <f t="shared" si="175"/>
        <v>2025</v>
      </c>
      <c r="AE52" s="479">
        <f>AE7</f>
        <v>2013</v>
      </c>
      <c r="AF52" s="479">
        <f t="shared" ref="AF52:AQ52" si="176">AF7</f>
        <v>2014</v>
      </c>
      <c r="AG52" s="479">
        <f t="shared" si="176"/>
        <v>2015</v>
      </c>
      <c r="AH52" s="479">
        <f t="shared" si="176"/>
        <v>2016</v>
      </c>
      <c r="AI52" s="479">
        <f t="shared" si="176"/>
        <v>2017</v>
      </c>
      <c r="AJ52" s="479">
        <f t="shared" si="176"/>
        <v>2018</v>
      </c>
      <c r="AK52" s="479">
        <f t="shared" si="176"/>
        <v>2019</v>
      </c>
      <c r="AL52" s="479">
        <f t="shared" si="176"/>
        <v>2020</v>
      </c>
      <c r="AM52" s="479">
        <f t="shared" si="176"/>
        <v>2021</v>
      </c>
      <c r="AN52" s="479">
        <f t="shared" si="176"/>
        <v>2022</v>
      </c>
      <c r="AO52" s="479">
        <f t="shared" si="176"/>
        <v>2023</v>
      </c>
      <c r="AP52" s="479">
        <f t="shared" si="176"/>
        <v>2024</v>
      </c>
      <c r="AQ52" s="479">
        <f t="shared" si="176"/>
        <v>2025</v>
      </c>
      <c r="AR52" s="479">
        <f>AR7</f>
        <v>2013</v>
      </c>
      <c r="AS52" s="479">
        <f t="shared" ref="AS52:BD52" si="177">AS7</f>
        <v>2014</v>
      </c>
      <c r="AT52" s="479">
        <f t="shared" si="177"/>
        <v>2015</v>
      </c>
      <c r="AU52" s="479">
        <f t="shared" si="177"/>
        <v>2016</v>
      </c>
      <c r="AV52" s="479">
        <f t="shared" si="177"/>
        <v>2017</v>
      </c>
      <c r="AW52" s="479">
        <f t="shared" si="177"/>
        <v>2018</v>
      </c>
      <c r="AX52" s="479">
        <f t="shared" si="177"/>
        <v>2019</v>
      </c>
      <c r="AY52" s="479">
        <f t="shared" si="177"/>
        <v>2020</v>
      </c>
      <c r="AZ52" s="479">
        <f t="shared" si="177"/>
        <v>2021</v>
      </c>
      <c r="BA52" s="479">
        <f t="shared" si="177"/>
        <v>2022</v>
      </c>
      <c r="BB52" s="479">
        <f t="shared" si="177"/>
        <v>2023</v>
      </c>
      <c r="BC52" s="479">
        <f t="shared" si="177"/>
        <v>2024</v>
      </c>
      <c r="BD52" s="479">
        <f t="shared" si="177"/>
        <v>2025</v>
      </c>
      <c r="BE52" s="335"/>
      <c r="BF52" s="288"/>
      <c r="BG52" s="288"/>
      <c r="BH52" s="288"/>
      <c r="BI52" s="288"/>
      <c r="BJ52" s="288"/>
      <c r="BK52" s="288"/>
      <c r="BL52" s="508">
        <f>BL7</f>
        <v>2013</v>
      </c>
      <c r="BM52" s="508">
        <f t="shared" ref="BM52:BX52" si="178">BM7</f>
        <v>2014</v>
      </c>
      <c r="BN52" s="508">
        <f t="shared" si="178"/>
        <v>2015</v>
      </c>
      <c r="BO52" s="508">
        <f t="shared" si="178"/>
        <v>2016</v>
      </c>
      <c r="BP52" s="508">
        <f t="shared" si="178"/>
        <v>2017</v>
      </c>
      <c r="BQ52" s="508">
        <f t="shared" si="178"/>
        <v>2018</v>
      </c>
      <c r="BR52" s="508">
        <f t="shared" si="178"/>
        <v>2019</v>
      </c>
      <c r="BS52" s="508">
        <f t="shared" si="178"/>
        <v>2020</v>
      </c>
      <c r="BT52" s="508">
        <f t="shared" si="178"/>
        <v>2021</v>
      </c>
      <c r="BU52" s="508">
        <f t="shared" si="178"/>
        <v>2022</v>
      </c>
      <c r="BV52" s="508">
        <f t="shared" si="178"/>
        <v>2023</v>
      </c>
      <c r="BW52" s="508">
        <f t="shared" si="178"/>
        <v>2024</v>
      </c>
      <c r="BX52" s="508">
        <f t="shared" si="178"/>
        <v>2025</v>
      </c>
      <c r="BY52" s="508">
        <f>BY7</f>
        <v>2013</v>
      </c>
      <c r="BZ52" s="508">
        <f t="shared" ref="BZ52:CK52" si="179">BZ7</f>
        <v>2014</v>
      </c>
      <c r="CA52" s="508">
        <f t="shared" si="179"/>
        <v>2015</v>
      </c>
      <c r="CB52" s="508">
        <f t="shared" si="179"/>
        <v>2016</v>
      </c>
      <c r="CC52" s="508">
        <f t="shared" si="179"/>
        <v>2017</v>
      </c>
      <c r="CD52" s="508">
        <f t="shared" si="179"/>
        <v>2018</v>
      </c>
      <c r="CE52" s="508">
        <f t="shared" si="179"/>
        <v>2019</v>
      </c>
      <c r="CF52" s="508">
        <f t="shared" si="179"/>
        <v>2020</v>
      </c>
      <c r="CG52" s="508">
        <f t="shared" si="179"/>
        <v>2021</v>
      </c>
      <c r="CH52" s="508">
        <f t="shared" si="179"/>
        <v>2022</v>
      </c>
      <c r="CI52" s="508">
        <f t="shared" si="179"/>
        <v>2023</v>
      </c>
      <c r="CJ52" s="508">
        <f t="shared" si="179"/>
        <v>2024</v>
      </c>
      <c r="CK52" s="508">
        <f t="shared" si="179"/>
        <v>2025</v>
      </c>
      <c r="CM52" s="508">
        <f>CM7</f>
        <v>2013</v>
      </c>
      <c r="CN52" s="508">
        <f t="shared" ref="CN52:CY52" si="180">CN7</f>
        <v>2014</v>
      </c>
      <c r="CO52" s="508">
        <f t="shared" si="180"/>
        <v>2015</v>
      </c>
      <c r="CP52" s="508">
        <f t="shared" si="180"/>
        <v>2016</v>
      </c>
      <c r="CQ52" s="508">
        <f t="shared" si="180"/>
        <v>2017</v>
      </c>
      <c r="CR52" s="508">
        <f t="shared" si="180"/>
        <v>2018</v>
      </c>
      <c r="CS52" s="508">
        <f t="shared" si="180"/>
        <v>2019</v>
      </c>
      <c r="CT52" s="508">
        <f t="shared" si="180"/>
        <v>2020</v>
      </c>
      <c r="CU52" s="508">
        <f t="shared" si="180"/>
        <v>2021</v>
      </c>
      <c r="CV52" s="508">
        <f t="shared" si="180"/>
        <v>2022</v>
      </c>
      <c r="CW52" s="508">
        <f t="shared" si="180"/>
        <v>2023</v>
      </c>
      <c r="CX52" s="508">
        <f t="shared" si="180"/>
        <v>2024</v>
      </c>
      <c r="CY52" s="508">
        <f t="shared" si="180"/>
        <v>2025</v>
      </c>
    </row>
    <row r="53" spans="1:103" ht="15" customHeight="1" x14ac:dyDescent="0.3">
      <c r="A53" s="420"/>
      <c r="B53" s="420"/>
      <c r="C53" s="335"/>
      <c r="D53" s="335"/>
      <c r="E53" s="335"/>
      <c r="F53" s="335"/>
      <c r="G53" s="335"/>
      <c r="H53" s="335"/>
      <c r="I53" s="335"/>
      <c r="J53" s="335"/>
      <c r="K53" s="335"/>
      <c r="L53" s="335"/>
      <c r="M53" s="335"/>
      <c r="N53" s="335"/>
      <c r="O53" s="335"/>
      <c r="P53" s="377"/>
      <c r="Q53" s="377"/>
      <c r="R53" s="733">
        <f>R51</f>
        <v>33.691229219999983</v>
      </c>
      <c r="S53" s="733">
        <f t="shared" ref="S53:AD53" si="181">S51</f>
        <v>33.572410799999986</v>
      </c>
      <c r="T53" s="733">
        <f t="shared" si="181"/>
        <v>33.445105349999977</v>
      </c>
      <c r="U53" s="733">
        <f t="shared" si="181"/>
        <v>33.309312869999978</v>
      </c>
      <c r="V53" s="733">
        <f t="shared" si="181"/>
        <v>33.165033359999988</v>
      </c>
      <c r="W53" s="733">
        <f t="shared" si="181"/>
        <v>33.012266819999979</v>
      </c>
      <c r="X53" s="733">
        <f t="shared" si="181"/>
        <v>32.851013249999987</v>
      </c>
      <c r="Y53" s="733">
        <f t="shared" si="181"/>
        <v>32.681272649999983</v>
      </c>
      <c r="Z53" s="733">
        <f t="shared" si="181"/>
        <v>32.503045019999995</v>
      </c>
      <c r="AA53" s="733">
        <f t="shared" si="181"/>
        <v>32.315218359999982</v>
      </c>
      <c r="AB53" s="733">
        <f t="shared" si="181"/>
        <v>32.117792669999993</v>
      </c>
      <c r="AC53" s="733">
        <f t="shared" si="181"/>
        <v>31.910767949999979</v>
      </c>
      <c r="AD53" s="733">
        <f t="shared" si="181"/>
        <v>31.6941442</v>
      </c>
      <c r="AE53" s="733">
        <f>AE51</f>
        <v>35.619909060000005</v>
      </c>
      <c r="AF53" s="733">
        <f t="shared" ref="AF53:AQ53" si="182">AF51</f>
        <v>35.488491900000014</v>
      </c>
      <c r="AG53" s="733">
        <f t="shared" si="182"/>
        <v>35.347687800000003</v>
      </c>
      <c r="AH53" s="733">
        <f t="shared" si="182"/>
        <v>35.197496759999993</v>
      </c>
      <c r="AI53" s="733">
        <f t="shared" si="182"/>
        <v>35.037918780000005</v>
      </c>
      <c r="AJ53" s="733">
        <f t="shared" si="182"/>
        <v>34.868953860000005</v>
      </c>
      <c r="AK53" s="733">
        <f t="shared" si="182"/>
        <v>34.690602000000005</v>
      </c>
      <c r="AL53" s="733">
        <f t="shared" si="182"/>
        <v>34.502863200000014</v>
      </c>
      <c r="AM53" s="733">
        <f t="shared" si="182"/>
        <v>34.30573746000001</v>
      </c>
      <c r="AN53" s="733">
        <f t="shared" si="182"/>
        <v>34.094688880000007</v>
      </c>
      <c r="AO53" s="733">
        <f t="shared" si="182"/>
        <v>33.869717460000004</v>
      </c>
      <c r="AP53" s="733">
        <f t="shared" si="182"/>
        <v>33.630823200000009</v>
      </c>
      <c r="AQ53" s="733">
        <f t="shared" si="182"/>
        <v>33.378006100000007</v>
      </c>
      <c r="AR53" s="733">
        <f>AR51</f>
        <v>36.307082760000014</v>
      </c>
      <c r="AS53" s="733">
        <f t="shared" ref="AS53:BD53" si="183">AS51</f>
        <v>36.178422900000008</v>
      </c>
      <c r="AT53" s="733">
        <f t="shared" si="183"/>
        <v>36.040573050000027</v>
      </c>
      <c r="AU53" s="733">
        <f t="shared" si="183"/>
        <v>35.893533210000015</v>
      </c>
      <c r="AV53" s="733">
        <f t="shared" si="183"/>
        <v>35.737303380000021</v>
      </c>
      <c r="AW53" s="733">
        <f t="shared" si="183"/>
        <v>35.571883560000025</v>
      </c>
      <c r="AX53" s="733">
        <f t="shared" si="183"/>
        <v>35.397273750000011</v>
      </c>
      <c r="AY53" s="733">
        <f t="shared" si="183"/>
        <v>35.213473950000029</v>
      </c>
      <c r="AZ53" s="733">
        <f t="shared" si="183"/>
        <v>35.020484160000024</v>
      </c>
      <c r="BA53" s="733">
        <f t="shared" si="183"/>
        <v>34.812132280000043</v>
      </c>
      <c r="BB53" s="733">
        <f t="shared" si="183"/>
        <v>34.588418310000037</v>
      </c>
      <c r="BC53" s="733">
        <f t="shared" si="183"/>
        <v>34.349342250000042</v>
      </c>
      <c r="BD53" s="733">
        <f t="shared" si="183"/>
        <v>34.094904100000036</v>
      </c>
      <c r="BE53" s="335"/>
      <c r="BF53" s="335"/>
      <c r="BG53" s="335"/>
      <c r="BH53" s="1540" t="s">
        <v>183</v>
      </c>
      <c r="BI53" s="1540"/>
      <c r="BJ53" s="1540"/>
      <c r="BK53" s="1540"/>
      <c r="BL53" s="735">
        <f>BL51</f>
        <v>23.144006357544971</v>
      </c>
      <c r="BM53" s="735">
        <f t="shared" ref="BM53:BX53" si="184">BM51</f>
        <v>22.506304999634022</v>
      </c>
      <c r="BN53" s="735">
        <f t="shared" si="184"/>
        <v>21.880589849100083</v>
      </c>
      <c r="BO53" s="735">
        <f t="shared" si="184"/>
        <v>21.266658311108841</v>
      </c>
      <c r="BP53" s="735">
        <f t="shared" si="184"/>
        <v>20.664310474727799</v>
      </c>
      <c r="BQ53" s="735">
        <f t="shared" si="184"/>
        <v>20.073349104230672</v>
      </c>
      <c r="BR53" s="735">
        <f t="shared" si="184"/>
        <v>19.493579629186748</v>
      </c>
      <c r="BS53" s="735">
        <f t="shared" si="184"/>
        <v>18.924810133400737</v>
      </c>
      <c r="BT53" s="735">
        <f t="shared" si="184"/>
        <v>18.366851342766203</v>
      </c>
      <c r="BU53" s="735">
        <f t="shared" si="184"/>
        <v>17.819098377036667</v>
      </c>
      <c r="BV53" s="735">
        <f t="shared" si="184"/>
        <v>17.281387918391378</v>
      </c>
      <c r="BW53" s="735">
        <f t="shared" si="184"/>
        <v>16.753558479409079</v>
      </c>
      <c r="BX53" s="735">
        <f t="shared" si="184"/>
        <v>16.23545041255818</v>
      </c>
      <c r="BY53" s="735">
        <f>BY51</f>
        <v>24.329112557025113</v>
      </c>
      <c r="BZ53" s="735">
        <f t="shared" ref="BZ53:CK53" si="185">BZ51</f>
        <v>23.069466532532704</v>
      </c>
      <c r="CA53" s="735">
        <f t="shared" si="185"/>
        <v>22.424425767455141</v>
      </c>
      <c r="CB53" s="735">
        <f t="shared" si="185"/>
        <v>21.791355354531831</v>
      </c>
      <c r="CC53" s="735">
        <f t="shared" si="185"/>
        <v>21.170057984311121</v>
      </c>
      <c r="CD53" s="735">
        <f t="shared" si="185"/>
        <v>20.560338779212604</v>
      </c>
      <c r="CE53" s="735">
        <f t="shared" si="185"/>
        <v>19.962005294072178</v>
      </c>
      <c r="CF53" s="735">
        <f t="shared" si="185"/>
        <v>19.374867515169161</v>
      </c>
      <c r="CG53" s="735">
        <f t="shared" si="185"/>
        <v>18.798737857810014</v>
      </c>
      <c r="CH53" s="735">
        <f t="shared" si="185"/>
        <v>18.231767406006593</v>
      </c>
      <c r="CI53" s="735">
        <f t="shared" si="185"/>
        <v>17.673855816017419</v>
      </c>
      <c r="CJ53" s="735">
        <f t="shared" si="185"/>
        <v>17.124902097520824</v>
      </c>
      <c r="CK53" s="735">
        <f t="shared" si="185"/>
        <v>16.584804707162021</v>
      </c>
      <c r="CL53" s="732"/>
      <c r="CM53" s="735">
        <f>CM51</f>
        <v>24.747211183423389</v>
      </c>
      <c r="CN53" s="735">
        <f t="shared" ref="CN53:CY53" si="186">CN51</f>
        <v>24.064459792671162</v>
      </c>
      <c r="CO53" s="735">
        <f t="shared" si="186"/>
        <v>23.394495017047539</v>
      </c>
      <c r="CP53" s="735">
        <f t="shared" si="186"/>
        <v>22.737102244991657</v>
      </c>
      <c r="CQ53" s="735">
        <f t="shared" si="186"/>
        <v>22.092069653186947</v>
      </c>
      <c r="CR53" s="735">
        <f t="shared" si="186"/>
        <v>21.459188200066272</v>
      </c>
      <c r="CS53" s="735">
        <f t="shared" si="186"/>
        <v>20.838251617928854</v>
      </c>
      <c r="CT53" s="735">
        <f t="shared" si="186"/>
        <v>20.229056403742156</v>
      </c>
      <c r="CU53" s="735">
        <f t="shared" si="186"/>
        <v>19.631401808698392</v>
      </c>
      <c r="CV53" s="735">
        <f t="shared" si="186"/>
        <v>19.042768433974938</v>
      </c>
      <c r="CW53" s="735">
        <f t="shared" si="186"/>
        <v>18.463075967441885</v>
      </c>
      <c r="CX53" s="735">
        <f t="shared" si="186"/>
        <v>17.892242542953287</v>
      </c>
      <c r="CY53" s="735">
        <f t="shared" si="186"/>
        <v>17.330184866551555</v>
      </c>
    </row>
    <row r="54" spans="1:103" ht="15" customHeight="1" x14ac:dyDescent="0.3">
      <c r="A54" s="335"/>
      <c r="B54" s="335"/>
      <c r="C54" s="335"/>
      <c r="D54" s="335"/>
      <c r="E54" s="335"/>
      <c r="F54" s="335"/>
      <c r="G54" s="335"/>
      <c r="H54" s="335"/>
      <c r="I54" s="335"/>
      <c r="J54" s="335"/>
      <c r="K54" s="335"/>
      <c r="L54" s="335"/>
      <c r="M54" s="335"/>
      <c r="N54" s="335"/>
      <c r="O54" s="335"/>
      <c r="P54" s="377"/>
      <c r="Q54" s="377"/>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335"/>
      <c r="BF54" s="335"/>
      <c r="BG54" s="335"/>
      <c r="BH54" s="734"/>
      <c r="BI54" s="734"/>
      <c r="BJ54" s="734"/>
      <c r="BK54" s="734"/>
      <c r="BL54" s="735"/>
      <c r="BM54" s="735"/>
      <c r="BN54" s="735"/>
      <c r="BO54" s="735"/>
      <c r="BP54" s="735"/>
      <c r="BQ54" s="735"/>
      <c r="BR54" s="735"/>
      <c r="BS54" s="735"/>
      <c r="BT54" s="735"/>
      <c r="BU54" s="735"/>
      <c r="BV54" s="735"/>
      <c r="BW54" s="735"/>
      <c r="BX54" s="735"/>
      <c r="BY54" s="735"/>
      <c r="BZ54" s="735"/>
      <c r="CA54" s="735"/>
      <c r="CB54" s="735"/>
      <c r="CC54" s="735"/>
      <c r="CD54" s="735"/>
      <c r="CE54" s="735"/>
      <c r="CF54" s="735"/>
      <c r="CG54" s="735"/>
      <c r="CH54" s="735"/>
      <c r="CI54" s="735"/>
      <c r="CJ54" s="735"/>
      <c r="CK54" s="735"/>
      <c r="CL54" s="732"/>
      <c r="CM54" s="735"/>
      <c r="CN54" s="735"/>
      <c r="CO54" s="735"/>
      <c r="CP54" s="735"/>
      <c r="CQ54" s="735"/>
      <c r="CR54" s="735"/>
      <c r="CS54" s="735"/>
      <c r="CT54" s="735"/>
      <c r="CU54" s="735"/>
      <c r="CV54" s="735"/>
      <c r="CW54" s="735"/>
      <c r="CX54" s="735"/>
      <c r="CY54" s="735"/>
    </row>
    <row r="55" spans="1:103" ht="15" customHeight="1" x14ac:dyDescent="0.3">
      <c r="A55" s="335"/>
      <c r="B55" s="335"/>
      <c r="C55" s="335"/>
      <c r="D55" s="335"/>
      <c r="E55" s="335"/>
      <c r="F55" s="335"/>
      <c r="G55" s="335"/>
      <c r="H55" s="335"/>
      <c r="I55" s="335"/>
      <c r="J55" s="335"/>
      <c r="K55" s="335"/>
      <c r="L55" s="335"/>
      <c r="M55" s="335"/>
      <c r="N55" s="335"/>
      <c r="O55" s="335"/>
      <c r="P55" s="377"/>
      <c r="Q55" s="377"/>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335"/>
      <c r="BF55" s="335"/>
      <c r="BG55" s="335"/>
      <c r="BH55" s="734"/>
      <c r="BI55" s="734"/>
      <c r="BJ55" s="734"/>
      <c r="BK55" s="734"/>
      <c r="BL55" s="735"/>
      <c r="BM55" s="735"/>
      <c r="BN55" s="735"/>
      <c r="BO55" s="735"/>
      <c r="BP55" s="735"/>
      <c r="BQ55" s="735"/>
      <c r="BR55" s="735"/>
      <c r="BS55" s="735"/>
      <c r="BT55" s="735"/>
      <c r="BU55" s="735"/>
      <c r="BV55" s="735"/>
      <c r="BW55" s="735"/>
      <c r="BX55" s="735"/>
      <c r="BY55" s="735"/>
      <c r="BZ55" s="735"/>
      <c r="CA55" s="735"/>
      <c r="CB55" s="735"/>
      <c r="CC55" s="735"/>
      <c r="CD55" s="735"/>
      <c r="CE55" s="735"/>
      <c r="CF55" s="735"/>
      <c r="CG55" s="735"/>
      <c r="CH55" s="735"/>
      <c r="CI55" s="735"/>
      <c r="CJ55" s="735"/>
      <c r="CK55" s="735"/>
      <c r="CL55" s="732"/>
      <c r="CM55" s="735"/>
      <c r="CN55" s="735"/>
      <c r="CO55" s="735"/>
      <c r="CP55" s="735"/>
      <c r="CQ55" s="735"/>
      <c r="CR55" s="735"/>
      <c r="CS55" s="735"/>
      <c r="CT55" s="735"/>
      <c r="CU55" s="735"/>
      <c r="CV55" s="735"/>
      <c r="CW55" s="735"/>
      <c r="CX55" s="735"/>
      <c r="CY55" s="735"/>
    </row>
    <row r="56" spans="1:103" ht="15" customHeight="1" x14ac:dyDescent="0.3">
      <c r="A56" s="335"/>
      <c r="B56" s="335"/>
      <c r="C56" s="335"/>
      <c r="D56" s="335"/>
      <c r="E56" s="335"/>
      <c r="F56" s="335"/>
      <c r="G56" s="335"/>
      <c r="H56" s="335"/>
      <c r="I56" s="335"/>
      <c r="J56" s="335"/>
      <c r="K56" s="335"/>
      <c r="L56" s="335"/>
      <c r="M56" s="335"/>
      <c r="N56" s="335"/>
      <c r="O56" s="335"/>
      <c r="P56" s="377"/>
      <c r="Q56" s="377"/>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335"/>
      <c r="BF56" s="335"/>
      <c r="BG56" s="335"/>
      <c r="BH56" s="734"/>
      <c r="BI56" s="734"/>
      <c r="BJ56" s="734"/>
      <c r="BK56" s="734"/>
      <c r="BL56" s="735"/>
      <c r="BM56" s="735"/>
      <c r="BN56" s="735"/>
      <c r="BO56" s="735"/>
      <c r="BP56" s="735"/>
      <c r="BQ56" s="735"/>
      <c r="BR56" s="735"/>
      <c r="BS56" s="735"/>
      <c r="BT56" s="735"/>
      <c r="BU56" s="735"/>
      <c r="BV56" s="735"/>
      <c r="BW56" s="735"/>
      <c r="BX56" s="735"/>
      <c r="BY56" s="735"/>
      <c r="BZ56" s="735"/>
      <c r="CA56" s="735"/>
      <c r="CB56" s="735"/>
      <c r="CC56" s="735"/>
      <c r="CD56" s="735"/>
      <c r="CE56" s="735"/>
      <c r="CF56" s="735"/>
      <c r="CG56" s="735"/>
      <c r="CH56" s="735"/>
      <c r="CI56" s="735"/>
      <c r="CJ56" s="735"/>
      <c r="CK56" s="735"/>
      <c r="CL56" s="732"/>
      <c r="CM56" s="735"/>
      <c r="CN56" s="735"/>
      <c r="CO56" s="735"/>
      <c r="CP56" s="735"/>
      <c r="CQ56" s="735"/>
      <c r="CR56" s="735"/>
      <c r="CS56" s="735"/>
      <c r="CT56" s="735"/>
      <c r="CU56" s="735"/>
      <c r="CV56" s="735"/>
      <c r="CW56" s="735"/>
      <c r="CX56" s="735"/>
      <c r="CY56" s="735"/>
    </row>
    <row r="57" spans="1:103" ht="15" customHeight="1" x14ac:dyDescent="0.3">
      <c r="A57" s="335"/>
      <c r="B57" s="335"/>
      <c r="C57" s="335"/>
      <c r="D57" s="335"/>
      <c r="E57" s="335"/>
      <c r="F57" s="335"/>
      <c r="G57" s="335"/>
      <c r="H57" s="335"/>
      <c r="I57" s="335"/>
      <c r="J57" s="335"/>
      <c r="K57" s="335"/>
      <c r="L57" s="335"/>
      <c r="M57" s="335"/>
      <c r="N57" s="335"/>
      <c r="O57" s="335"/>
      <c r="P57" s="377"/>
      <c r="Q57" s="377"/>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335"/>
      <c r="BF57" s="335"/>
      <c r="BG57" s="335"/>
      <c r="BH57" s="734"/>
      <c r="BI57" s="734"/>
      <c r="BJ57" s="734"/>
      <c r="BK57" s="734"/>
      <c r="BL57" s="735"/>
      <c r="BM57" s="735"/>
      <c r="BN57" s="735"/>
      <c r="BO57" s="735"/>
      <c r="BP57" s="735"/>
      <c r="BQ57" s="735"/>
      <c r="BR57" s="735"/>
      <c r="BS57" s="735"/>
      <c r="BT57" s="735"/>
      <c r="BU57" s="735"/>
      <c r="BV57" s="735"/>
      <c r="BW57" s="735"/>
      <c r="BX57" s="735"/>
      <c r="BY57" s="735"/>
      <c r="BZ57" s="735"/>
      <c r="CA57" s="735"/>
      <c r="CB57" s="735"/>
      <c r="CC57" s="735"/>
      <c r="CD57" s="735"/>
      <c r="CE57" s="735"/>
      <c r="CF57" s="735"/>
      <c r="CG57" s="735"/>
      <c r="CH57" s="735"/>
      <c r="CI57" s="735"/>
      <c r="CJ57" s="735"/>
      <c r="CK57" s="735"/>
      <c r="CL57" s="732"/>
      <c r="CM57" s="735"/>
      <c r="CN57" s="735"/>
      <c r="CO57" s="735"/>
      <c r="CP57" s="735"/>
      <c r="CQ57" s="735"/>
      <c r="CR57" s="735"/>
      <c r="CS57" s="735"/>
      <c r="CT57" s="735"/>
      <c r="CU57" s="735"/>
      <c r="CV57" s="735"/>
      <c r="CW57" s="735"/>
      <c r="CX57" s="735"/>
      <c r="CY57" s="735"/>
    </row>
    <row r="58" spans="1:103" ht="15" customHeight="1" x14ac:dyDescent="0.3">
      <c r="A58" s="335"/>
      <c r="B58" s="335"/>
      <c r="C58" s="335"/>
      <c r="D58" s="335"/>
      <c r="E58" s="335"/>
      <c r="F58" s="335"/>
      <c r="G58" s="335"/>
      <c r="H58" s="335"/>
      <c r="I58" s="335"/>
      <c r="J58" s="335"/>
      <c r="K58" s="335"/>
      <c r="L58" s="335"/>
      <c r="M58" s="335"/>
      <c r="N58" s="335"/>
      <c r="O58" s="335"/>
      <c r="P58" s="377"/>
      <c r="Q58" s="377"/>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335"/>
      <c r="BF58" s="335"/>
      <c r="BG58" s="335"/>
      <c r="BH58" s="734"/>
      <c r="BI58" s="734"/>
      <c r="BJ58" s="734"/>
      <c r="BK58" s="734"/>
      <c r="BL58" s="735"/>
      <c r="BM58" s="735"/>
      <c r="BN58" s="735"/>
      <c r="BO58" s="735"/>
      <c r="BP58" s="735"/>
      <c r="BQ58" s="735"/>
      <c r="BR58" s="735"/>
      <c r="BS58" s="735"/>
      <c r="BT58" s="735"/>
      <c r="BU58" s="735"/>
      <c r="BV58" s="735"/>
      <c r="BW58" s="735"/>
      <c r="BX58" s="735"/>
      <c r="BY58" s="735"/>
      <c r="BZ58" s="735"/>
      <c r="CA58" s="735"/>
      <c r="CB58" s="735"/>
      <c r="CC58" s="735"/>
      <c r="CD58" s="735"/>
      <c r="CE58" s="735"/>
      <c r="CF58" s="735"/>
      <c r="CG58" s="735"/>
      <c r="CH58" s="735"/>
      <c r="CI58" s="735"/>
      <c r="CJ58" s="735"/>
      <c r="CK58" s="735"/>
      <c r="CL58" s="732"/>
      <c r="CM58" s="735"/>
      <c r="CN58" s="735"/>
      <c r="CO58" s="735"/>
      <c r="CP58" s="735"/>
      <c r="CQ58" s="735"/>
      <c r="CR58" s="735"/>
      <c r="CS58" s="735"/>
      <c r="CT58" s="735"/>
      <c r="CU58" s="735"/>
      <c r="CV58" s="735"/>
      <c r="CW58" s="735"/>
      <c r="CX58" s="735"/>
      <c r="CY58" s="735"/>
    </row>
    <row r="59" spans="1:103" ht="15" customHeight="1" x14ac:dyDescent="0.3">
      <c r="A59" s="335"/>
      <c r="B59" s="335"/>
      <c r="C59" s="335"/>
      <c r="D59" s="335"/>
      <c r="E59" s="335"/>
      <c r="F59" s="335"/>
      <c r="G59" s="335"/>
      <c r="H59" s="335"/>
      <c r="I59" s="335"/>
      <c r="J59" s="335"/>
      <c r="K59" s="335"/>
      <c r="L59" s="335"/>
      <c r="M59" s="335"/>
      <c r="N59" s="335"/>
      <c r="O59" s="335"/>
      <c r="P59" s="377"/>
      <c r="Q59" s="377"/>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335"/>
      <c r="BF59" s="335"/>
      <c r="BG59" s="335"/>
      <c r="BH59" s="734"/>
      <c r="BI59" s="734"/>
      <c r="BJ59" s="734"/>
      <c r="BK59" s="734"/>
      <c r="BL59" s="735"/>
      <c r="BM59" s="735"/>
      <c r="BN59" s="735"/>
      <c r="BO59" s="735"/>
      <c r="BP59" s="735"/>
      <c r="BQ59" s="735"/>
      <c r="BR59" s="735"/>
      <c r="BS59" s="735"/>
      <c r="BT59" s="735"/>
      <c r="BU59" s="735"/>
      <c r="BV59" s="735"/>
      <c r="BW59" s="735"/>
      <c r="BX59" s="735"/>
      <c r="BY59" s="735"/>
      <c r="BZ59" s="735"/>
      <c r="CA59" s="735"/>
      <c r="CB59" s="735"/>
      <c r="CC59" s="735"/>
      <c r="CD59" s="735"/>
      <c r="CE59" s="735"/>
      <c r="CF59" s="735"/>
      <c r="CG59" s="735"/>
      <c r="CH59" s="735"/>
      <c r="CI59" s="735"/>
      <c r="CJ59" s="735"/>
      <c r="CK59" s="735"/>
      <c r="CL59" s="732"/>
      <c r="CM59" s="735"/>
      <c r="CN59" s="735"/>
      <c r="CO59" s="735"/>
      <c r="CP59" s="735"/>
      <c r="CQ59" s="735"/>
      <c r="CR59" s="735"/>
      <c r="CS59" s="735"/>
      <c r="CT59" s="735"/>
      <c r="CU59" s="735"/>
      <c r="CV59" s="735"/>
      <c r="CW59" s="735"/>
      <c r="CX59" s="735"/>
      <c r="CY59" s="735"/>
    </row>
    <row r="60" spans="1:103" ht="15" customHeight="1" x14ac:dyDescent="0.3">
      <c r="A60" s="335"/>
      <c r="B60" s="335"/>
      <c r="C60" s="335"/>
      <c r="D60" s="335"/>
      <c r="E60" s="335"/>
      <c r="F60" s="335"/>
      <c r="G60" s="335"/>
      <c r="H60" s="335"/>
      <c r="I60" s="335"/>
      <c r="J60" s="335"/>
      <c r="K60" s="335"/>
      <c r="L60" s="335"/>
      <c r="M60" s="335"/>
      <c r="N60" s="335"/>
      <c r="O60" s="335"/>
      <c r="P60" s="377"/>
      <c r="Q60" s="377"/>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335"/>
      <c r="BF60" s="335"/>
      <c r="BG60" s="335"/>
      <c r="BH60" s="734"/>
      <c r="BI60" s="734"/>
      <c r="BJ60" s="734"/>
      <c r="BK60" s="734"/>
      <c r="BL60" s="735"/>
      <c r="BM60" s="735"/>
      <c r="BN60" s="735"/>
      <c r="BO60" s="735"/>
      <c r="BP60" s="735"/>
      <c r="BQ60" s="735"/>
      <c r="BR60" s="735"/>
      <c r="BS60" s="735"/>
      <c r="BT60" s="735"/>
      <c r="BU60" s="735"/>
      <c r="BV60" s="735"/>
      <c r="BW60" s="735"/>
      <c r="BX60" s="735"/>
      <c r="BY60" s="735"/>
      <c r="BZ60" s="735"/>
      <c r="CA60" s="735"/>
      <c r="CB60" s="735"/>
      <c r="CC60" s="735"/>
      <c r="CD60" s="735"/>
      <c r="CE60" s="735"/>
      <c r="CF60" s="735"/>
      <c r="CG60" s="735"/>
      <c r="CH60" s="735"/>
      <c r="CI60" s="735"/>
      <c r="CJ60" s="735"/>
      <c r="CK60" s="735"/>
      <c r="CL60" s="732"/>
      <c r="CM60" s="735"/>
      <c r="CN60" s="735"/>
      <c r="CO60" s="735"/>
      <c r="CP60" s="735"/>
      <c r="CQ60" s="735"/>
      <c r="CR60" s="735"/>
      <c r="CS60" s="735"/>
      <c r="CT60" s="735"/>
      <c r="CU60" s="735"/>
      <c r="CV60" s="735"/>
      <c r="CW60" s="735"/>
      <c r="CX60" s="735"/>
      <c r="CY60" s="735"/>
    </row>
    <row r="61" spans="1:103" ht="15" customHeight="1" x14ac:dyDescent="0.3">
      <c r="A61" s="335"/>
      <c r="B61" s="335"/>
      <c r="C61" s="335"/>
      <c r="D61" s="335"/>
      <c r="E61" s="335"/>
      <c r="F61" s="335"/>
      <c r="G61" s="335"/>
      <c r="H61" s="335"/>
      <c r="I61" s="335"/>
      <c r="J61" s="335"/>
      <c r="K61" s="335"/>
      <c r="L61" s="335"/>
      <c r="M61" s="335"/>
      <c r="N61" s="335"/>
      <c r="O61" s="335"/>
      <c r="P61" s="377"/>
      <c r="Q61" s="377"/>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335"/>
      <c r="BF61" s="335"/>
      <c r="BG61" s="335"/>
      <c r="BH61" s="734"/>
      <c r="BI61" s="734"/>
      <c r="BJ61" s="734"/>
      <c r="BK61" s="734"/>
      <c r="BL61" s="735"/>
      <c r="BM61" s="735"/>
      <c r="BN61" s="735"/>
      <c r="BO61" s="735"/>
      <c r="BP61" s="735"/>
      <c r="BQ61" s="735"/>
      <c r="BR61" s="735"/>
      <c r="BS61" s="735"/>
      <c r="BT61" s="735"/>
      <c r="BU61" s="735"/>
      <c r="BV61" s="735"/>
      <c r="BW61" s="735"/>
      <c r="BX61" s="735"/>
      <c r="BY61" s="735"/>
      <c r="BZ61" s="735"/>
      <c r="CA61" s="735"/>
      <c r="CB61" s="735"/>
      <c r="CC61" s="735"/>
      <c r="CD61" s="735"/>
      <c r="CE61" s="735"/>
      <c r="CF61" s="735"/>
      <c r="CG61" s="735"/>
      <c r="CH61" s="735"/>
      <c r="CI61" s="735"/>
      <c r="CJ61" s="735"/>
      <c r="CK61" s="735"/>
      <c r="CL61" s="732"/>
      <c r="CM61" s="735"/>
      <c r="CN61" s="735"/>
      <c r="CO61" s="735"/>
      <c r="CP61" s="735"/>
      <c r="CQ61" s="735"/>
      <c r="CR61" s="735"/>
      <c r="CS61" s="735"/>
      <c r="CT61" s="735"/>
      <c r="CU61" s="735"/>
      <c r="CV61" s="735"/>
      <c r="CW61" s="735"/>
      <c r="CX61" s="735"/>
      <c r="CY61" s="735"/>
    </row>
    <row r="62" spans="1:103" ht="15" customHeight="1" x14ac:dyDescent="0.3">
      <c r="A62" s="335"/>
      <c r="B62" s="335"/>
      <c r="C62" s="335"/>
      <c r="D62" s="335"/>
      <c r="E62" s="335"/>
      <c r="F62" s="335"/>
      <c r="G62" s="335"/>
      <c r="H62" s="335"/>
      <c r="I62" s="335"/>
      <c r="J62" s="335"/>
      <c r="K62" s="335"/>
      <c r="L62" s="335"/>
      <c r="M62" s="335"/>
      <c r="N62" s="335"/>
      <c r="O62" s="335"/>
      <c r="P62" s="377"/>
      <c r="Q62" s="377"/>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335"/>
      <c r="BF62" s="335"/>
      <c r="BG62" s="335"/>
      <c r="BH62" s="734"/>
      <c r="BI62" s="734"/>
      <c r="BJ62" s="734"/>
      <c r="BK62" s="734"/>
      <c r="BL62" s="735"/>
      <c r="BM62" s="735"/>
      <c r="BN62" s="735"/>
      <c r="BO62" s="735"/>
      <c r="BP62" s="735"/>
      <c r="BQ62" s="735"/>
      <c r="BR62" s="735"/>
      <c r="BS62" s="735"/>
      <c r="BT62" s="735"/>
      <c r="BU62" s="735"/>
      <c r="BV62" s="735"/>
      <c r="BW62" s="735"/>
      <c r="BX62" s="735"/>
      <c r="BY62" s="735"/>
      <c r="BZ62" s="735"/>
      <c r="CA62" s="735"/>
      <c r="CB62" s="735"/>
      <c r="CC62" s="735"/>
      <c r="CD62" s="735"/>
      <c r="CE62" s="735"/>
      <c r="CF62" s="735"/>
      <c r="CG62" s="735"/>
      <c r="CH62" s="735"/>
      <c r="CI62" s="735"/>
      <c r="CJ62" s="735"/>
      <c r="CK62" s="735"/>
      <c r="CL62" s="732"/>
      <c r="CM62" s="735"/>
      <c r="CN62" s="735"/>
      <c r="CO62" s="735"/>
      <c r="CP62" s="735"/>
      <c r="CQ62" s="735"/>
      <c r="CR62" s="735"/>
      <c r="CS62" s="735"/>
      <c r="CT62" s="735"/>
      <c r="CU62" s="735"/>
      <c r="CV62" s="735"/>
      <c r="CW62" s="735"/>
      <c r="CX62" s="735"/>
      <c r="CY62" s="735"/>
    </row>
    <row r="63" spans="1:103" ht="15" customHeight="1" x14ac:dyDescent="0.3">
      <c r="A63" s="335"/>
      <c r="B63" s="335"/>
      <c r="C63" s="335"/>
      <c r="D63" s="335"/>
      <c r="E63" s="335"/>
      <c r="F63" s="335"/>
      <c r="G63" s="335"/>
      <c r="H63" s="335"/>
      <c r="I63" s="335"/>
      <c r="J63" s="335"/>
      <c r="K63" s="335"/>
      <c r="L63" s="335"/>
      <c r="M63" s="335"/>
      <c r="N63" s="335"/>
      <c r="O63" s="335"/>
      <c r="P63" s="377"/>
      <c r="Q63" s="377"/>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733"/>
      <c r="AT63" s="733"/>
      <c r="AU63" s="733"/>
      <c r="AV63" s="733"/>
      <c r="AW63" s="733"/>
      <c r="AX63" s="733"/>
      <c r="AY63" s="733"/>
      <c r="AZ63" s="733"/>
      <c r="BA63" s="733"/>
      <c r="BB63" s="733"/>
      <c r="BC63" s="733"/>
      <c r="BD63" s="733"/>
      <c r="BE63" s="335"/>
      <c r="BF63" s="335"/>
      <c r="BG63" s="335"/>
      <c r="BH63" s="734"/>
      <c r="BI63" s="734"/>
      <c r="BJ63" s="734"/>
      <c r="BK63" s="734"/>
      <c r="BL63" s="735"/>
      <c r="BM63" s="735"/>
      <c r="BN63" s="735"/>
      <c r="BO63" s="735"/>
      <c r="BP63" s="735"/>
      <c r="BQ63" s="735"/>
      <c r="BR63" s="735"/>
      <c r="BS63" s="735"/>
      <c r="BT63" s="735"/>
      <c r="BU63" s="735"/>
      <c r="BV63" s="735"/>
      <c r="BW63" s="735"/>
      <c r="BX63" s="735"/>
      <c r="BY63" s="735"/>
      <c r="BZ63" s="735"/>
      <c r="CA63" s="735"/>
      <c r="CB63" s="735"/>
      <c r="CC63" s="735"/>
      <c r="CD63" s="735"/>
      <c r="CE63" s="735"/>
      <c r="CF63" s="735"/>
      <c r="CG63" s="735"/>
      <c r="CH63" s="735"/>
      <c r="CI63" s="735"/>
      <c r="CJ63" s="735"/>
      <c r="CK63" s="735"/>
      <c r="CL63" s="732"/>
      <c r="CM63" s="735"/>
      <c r="CN63" s="735"/>
      <c r="CO63" s="735"/>
      <c r="CP63" s="735"/>
      <c r="CQ63" s="735"/>
      <c r="CR63" s="735"/>
      <c r="CS63" s="735"/>
      <c r="CT63" s="735"/>
      <c r="CU63" s="735"/>
      <c r="CV63" s="735"/>
      <c r="CW63" s="735"/>
      <c r="CX63" s="735"/>
      <c r="CY63" s="735"/>
    </row>
    <row r="64" spans="1:103" ht="15" customHeight="1" x14ac:dyDescent="0.3">
      <c r="A64" s="335"/>
      <c r="B64" s="335"/>
      <c r="C64" s="335"/>
      <c r="D64" s="335"/>
      <c r="E64" s="335"/>
      <c r="F64" s="335"/>
      <c r="G64" s="335"/>
      <c r="H64" s="335"/>
      <c r="I64" s="335"/>
      <c r="J64" s="335"/>
      <c r="K64" s="335"/>
      <c r="L64" s="335"/>
      <c r="M64" s="335"/>
      <c r="N64" s="335"/>
      <c r="O64" s="335"/>
      <c r="P64" s="377"/>
      <c r="Q64" s="377"/>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733"/>
      <c r="AT64" s="733"/>
      <c r="AU64" s="733"/>
      <c r="AV64" s="733"/>
      <c r="AW64" s="733"/>
      <c r="AX64" s="733"/>
      <c r="AY64" s="733"/>
      <c r="AZ64" s="733"/>
      <c r="BA64" s="733"/>
      <c r="BB64" s="733"/>
      <c r="BC64" s="733"/>
      <c r="BD64" s="733"/>
      <c r="BE64" s="335"/>
      <c r="BF64" s="335"/>
      <c r="BG64" s="335"/>
      <c r="BH64" s="734"/>
      <c r="BI64" s="734"/>
      <c r="BJ64" s="734"/>
      <c r="BK64" s="734"/>
      <c r="BL64" s="735"/>
      <c r="BM64" s="735"/>
      <c r="BN64" s="735"/>
      <c r="BO64" s="735"/>
      <c r="BP64" s="735"/>
      <c r="BQ64" s="735"/>
      <c r="BR64" s="735"/>
      <c r="BS64" s="735"/>
      <c r="BT64" s="735"/>
      <c r="BU64" s="735"/>
      <c r="BV64" s="735"/>
      <c r="BW64" s="735"/>
      <c r="BX64" s="735"/>
      <c r="BY64" s="735"/>
      <c r="BZ64" s="735"/>
      <c r="CA64" s="735"/>
      <c r="CB64" s="735"/>
      <c r="CC64" s="735"/>
      <c r="CD64" s="735"/>
      <c r="CE64" s="735"/>
      <c r="CF64" s="735"/>
      <c r="CG64" s="735"/>
      <c r="CH64" s="735"/>
      <c r="CI64" s="735"/>
      <c r="CJ64" s="735"/>
      <c r="CK64" s="735"/>
      <c r="CL64" s="732"/>
      <c r="CM64" s="735"/>
      <c r="CN64" s="735"/>
      <c r="CO64" s="735"/>
      <c r="CP64" s="735"/>
      <c r="CQ64" s="735"/>
      <c r="CR64" s="735"/>
      <c r="CS64" s="735"/>
      <c r="CT64" s="735"/>
      <c r="CU64" s="735"/>
      <c r="CV64" s="735"/>
      <c r="CW64" s="735"/>
      <c r="CX64" s="735"/>
      <c r="CY64" s="735"/>
    </row>
    <row r="65" spans="1:103" ht="15" customHeight="1" x14ac:dyDescent="0.3">
      <c r="A65" s="335"/>
      <c r="B65" s="335"/>
      <c r="C65" s="335"/>
      <c r="D65" s="335"/>
      <c r="E65" s="335"/>
      <c r="F65" s="335"/>
      <c r="G65" s="335"/>
      <c r="H65" s="335"/>
      <c r="I65" s="335"/>
      <c r="J65" s="335"/>
      <c r="K65" s="335"/>
      <c r="L65" s="335"/>
      <c r="M65" s="335"/>
      <c r="N65" s="335"/>
      <c r="O65" s="335"/>
      <c r="P65" s="377"/>
      <c r="Q65" s="377"/>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335"/>
      <c r="BF65" s="335"/>
      <c r="BG65" s="335"/>
      <c r="BH65" s="734"/>
      <c r="BI65" s="734"/>
      <c r="BJ65" s="734"/>
      <c r="BK65" s="734"/>
      <c r="BL65" s="735"/>
      <c r="BM65" s="735"/>
      <c r="BN65" s="735"/>
      <c r="BO65" s="735"/>
      <c r="BP65" s="735"/>
      <c r="BQ65" s="735"/>
      <c r="BR65" s="735"/>
      <c r="BS65" s="735"/>
      <c r="BT65" s="735"/>
      <c r="BU65" s="735"/>
      <c r="BV65" s="735"/>
      <c r="BW65" s="735"/>
      <c r="BX65" s="735"/>
      <c r="BY65" s="735"/>
      <c r="BZ65" s="735"/>
      <c r="CA65" s="735"/>
      <c r="CB65" s="735"/>
      <c r="CC65" s="735"/>
      <c r="CD65" s="735"/>
      <c r="CE65" s="735"/>
      <c r="CF65" s="735"/>
      <c r="CG65" s="735"/>
      <c r="CH65" s="735"/>
      <c r="CI65" s="735"/>
      <c r="CJ65" s="735"/>
      <c r="CK65" s="735"/>
      <c r="CL65" s="732"/>
      <c r="CM65" s="735"/>
      <c r="CN65" s="735"/>
      <c r="CO65" s="735"/>
      <c r="CP65" s="735"/>
      <c r="CQ65" s="735"/>
      <c r="CR65" s="735"/>
      <c r="CS65" s="735"/>
      <c r="CT65" s="735"/>
      <c r="CU65" s="735"/>
      <c r="CV65" s="735"/>
      <c r="CW65" s="735"/>
      <c r="CX65" s="735"/>
      <c r="CY65" s="735"/>
    </row>
    <row r="66" spans="1:103" ht="15" customHeight="1" x14ac:dyDescent="0.3">
      <c r="A66" s="335"/>
      <c r="B66" s="335"/>
      <c r="C66" s="420"/>
      <c r="D66" s="420"/>
      <c r="E66" s="420"/>
      <c r="F66" s="420"/>
      <c r="G66" s="420"/>
      <c r="H66" s="420"/>
      <c r="I66" s="420"/>
      <c r="J66" s="420"/>
      <c r="K66" s="420"/>
      <c r="L66" s="420"/>
      <c r="M66" s="420"/>
      <c r="N66" s="420"/>
      <c r="O66" s="420"/>
      <c r="P66" s="716"/>
      <c r="Q66" s="716"/>
      <c r="R66" s="792"/>
      <c r="S66" s="792"/>
      <c r="T66" s="792"/>
      <c r="U66" s="792"/>
      <c r="V66" s="792"/>
      <c r="W66" s="792"/>
      <c r="X66" s="792"/>
      <c r="Y66" s="792"/>
      <c r="Z66" s="792"/>
      <c r="AA66" s="792"/>
      <c r="AB66" s="792"/>
      <c r="AC66" s="792"/>
      <c r="AD66" s="792"/>
      <c r="AE66" s="792"/>
      <c r="AF66" s="792"/>
      <c r="AG66" s="792"/>
      <c r="AH66" s="792"/>
      <c r="AI66" s="792"/>
      <c r="AJ66" s="792"/>
      <c r="AK66" s="792"/>
      <c r="AL66" s="792"/>
      <c r="AM66" s="792"/>
      <c r="AN66" s="792"/>
      <c r="AO66" s="792"/>
      <c r="AP66" s="792"/>
      <c r="AQ66" s="792"/>
      <c r="AR66" s="792"/>
      <c r="AS66" s="792"/>
      <c r="AT66" s="792"/>
      <c r="AU66" s="792"/>
      <c r="AV66" s="792"/>
      <c r="AW66" s="792"/>
      <c r="AX66" s="792"/>
      <c r="AY66" s="792"/>
      <c r="AZ66" s="792"/>
      <c r="BA66" s="792"/>
      <c r="BB66" s="792"/>
      <c r="BC66" s="792"/>
      <c r="BD66" s="792"/>
      <c r="BE66" s="420"/>
      <c r="BF66" s="420"/>
      <c r="BG66" s="420"/>
      <c r="BH66" s="793"/>
      <c r="BI66" s="793"/>
      <c r="BJ66" s="793"/>
      <c r="BK66" s="793"/>
      <c r="BL66" s="794"/>
      <c r="BM66" s="794"/>
      <c r="BN66" s="794"/>
      <c r="BO66" s="794"/>
      <c r="BP66" s="794"/>
      <c r="BQ66" s="794"/>
      <c r="BR66" s="794"/>
      <c r="BS66" s="794"/>
      <c r="BT66" s="794"/>
      <c r="BU66" s="794"/>
      <c r="BV66" s="794"/>
      <c r="BW66" s="794"/>
      <c r="BX66" s="794"/>
      <c r="BY66" s="794"/>
      <c r="BZ66" s="794"/>
      <c r="CA66" s="794"/>
      <c r="CB66" s="794"/>
      <c r="CC66" s="794"/>
      <c r="CD66" s="794"/>
      <c r="CE66" s="794"/>
      <c r="CF66" s="794"/>
      <c r="CG66" s="794"/>
      <c r="CH66" s="794"/>
      <c r="CI66" s="794"/>
      <c r="CJ66" s="794"/>
      <c r="CK66" s="794"/>
      <c r="CL66" s="715"/>
      <c r="CM66" s="794"/>
      <c r="CN66" s="794"/>
      <c r="CO66" s="794"/>
      <c r="CP66" s="794"/>
      <c r="CQ66" s="794"/>
      <c r="CR66" s="794"/>
      <c r="CS66" s="794"/>
      <c r="CT66" s="794"/>
      <c r="CU66" s="794"/>
      <c r="CV66" s="794"/>
      <c r="CW66" s="794"/>
      <c r="CX66" s="794"/>
      <c r="CY66" s="794"/>
    </row>
    <row r="67" spans="1:103" ht="15.75" hidden="1" customHeight="1" x14ac:dyDescent="0.3">
      <c r="A67" s="288"/>
      <c r="B67" s="387" t="str">
        <f t="shared" ref="B67:B97" si="187">C67&amp;D67&amp;E67&amp;F67</f>
        <v>DublinMotorway&gt;60Motorway</v>
      </c>
      <c r="C67" s="394" t="s">
        <v>2</v>
      </c>
      <c r="D67" s="394" t="s">
        <v>28</v>
      </c>
      <c r="E67" s="339" t="s">
        <v>285</v>
      </c>
      <c r="F67" s="302" t="s">
        <v>28</v>
      </c>
      <c r="G67" s="339">
        <v>0.95599999999999996</v>
      </c>
      <c r="H67" s="335"/>
      <c r="I67" s="1546" t="s">
        <v>276</v>
      </c>
      <c r="J67" s="1547" t="s">
        <v>50</v>
      </c>
      <c r="K67" s="1547" t="s">
        <v>277</v>
      </c>
      <c r="L67" s="1546" t="s">
        <v>278</v>
      </c>
      <c r="M67" s="335"/>
      <c r="N67" s="335"/>
      <c r="O67" s="335"/>
      <c r="P67" s="335"/>
      <c r="Q67" s="335"/>
      <c r="R67" s="335"/>
      <c r="S67" s="335"/>
      <c r="T67" s="335"/>
      <c r="U67" s="31"/>
      <c r="V67" s="256"/>
      <c r="W67" s="79"/>
      <c r="X67" s="79"/>
      <c r="Y67" s="79"/>
      <c r="Z67" s="79"/>
      <c r="AA67" s="79"/>
      <c r="AB67" s="79"/>
      <c r="AC67" s="79"/>
      <c r="AD67" s="79"/>
      <c r="AE67" s="537"/>
      <c r="AF67" s="537"/>
      <c r="AG67" s="537"/>
      <c r="AH67" s="537"/>
      <c r="AI67" s="537"/>
      <c r="AJ67" s="537"/>
      <c r="AK67" s="537"/>
      <c r="AL67" s="537"/>
      <c r="AM67" s="537"/>
      <c r="AN67" s="537"/>
      <c r="AO67" s="537"/>
      <c r="AP67" s="537"/>
      <c r="AQ67" s="537"/>
      <c r="AR67" s="335"/>
      <c r="AS67" s="335"/>
      <c r="AT67" s="335"/>
      <c r="AU67" s="31"/>
      <c r="AV67" s="256"/>
      <c r="AW67" s="79"/>
      <c r="AX67" s="79"/>
      <c r="AY67" s="79"/>
      <c r="AZ67" s="79"/>
      <c r="BA67" s="79"/>
      <c r="BB67" s="79"/>
      <c r="BC67" s="79"/>
      <c r="BD67" s="79"/>
      <c r="BE67" s="79"/>
      <c r="BF67" s="79"/>
      <c r="BG67" s="732"/>
      <c r="BH67" s="732"/>
      <c r="BI67" s="732"/>
      <c r="BJ67" s="732"/>
      <c r="BK67" s="732"/>
      <c r="BL67" s="732"/>
      <c r="BM67" s="732"/>
      <c r="BN67" s="732"/>
      <c r="BO67" s="732"/>
      <c r="BP67" s="732"/>
      <c r="BQ67" s="732"/>
      <c r="BR67" s="732"/>
      <c r="BS67" s="732"/>
      <c r="BT67" s="732"/>
      <c r="BU67" s="732"/>
      <c r="BV67" s="732"/>
      <c r="BW67" s="732"/>
      <c r="BX67" s="732"/>
      <c r="BY67" s="732"/>
      <c r="BZ67" s="732"/>
      <c r="CA67" s="732"/>
      <c r="CB67" s="732"/>
      <c r="CC67" s="732"/>
      <c r="CD67" s="732"/>
      <c r="CE67" s="732"/>
      <c r="CF67" s="732"/>
      <c r="CG67" s="732"/>
      <c r="CH67" s="732"/>
      <c r="CI67" s="732"/>
      <c r="CJ67" s="732"/>
      <c r="CK67" s="732"/>
      <c r="CL67" s="732"/>
      <c r="CM67" s="732"/>
      <c r="CN67" s="732"/>
      <c r="CO67" s="732"/>
      <c r="CP67" s="732"/>
      <c r="CQ67" s="732"/>
      <c r="CR67" s="732"/>
      <c r="CS67" s="732"/>
      <c r="CT67" s="732"/>
      <c r="CU67" s="732"/>
      <c r="CV67" s="732"/>
      <c r="CW67" s="732"/>
      <c r="CX67" s="732"/>
      <c r="CY67" s="732"/>
    </row>
    <row r="68" spans="1:103" ht="14.4" hidden="1" x14ac:dyDescent="0.3">
      <c r="A68" s="288"/>
      <c r="B68" s="387" t="str">
        <f t="shared" si="187"/>
        <v>DublinNational Primary&gt;60Segregated</v>
      </c>
      <c r="C68" s="394" t="s">
        <v>2</v>
      </c>
      <c r="D68" s="394" t="s">
        <v>210</v>
      </c>
      <c r="E68" s="339" t="s">
        <v>285</v>
      </c>
      <c r="F68" s="302" t="s">
        <v>286</v>
      </c>
      <c r="G68" s="339">
        <v>0.95599999999999996</v>
      </c>
      <c r="H68" s="335"/>
      <c r="I68" s="1546"/>
      <c r="J68" s="1547"/>
      <c r="K68" s="1547"/>
      <c r="L68" s="1546"/>
      <c r="M68" s="335"/>
      <c r="N68" s="335"/>
      <c r="O68" s="335"/>
      <c r="P68" s="335"/>
      <c r="Q68" s="335"/>
      <c r="R68" s="335"/>
      <c r="S68" s="335"/>
      <c r="T68" s="335"/>
      <c r="U68" s="335"/>
      <c r="V68" s="75"/>
      <c r="W68" s="75"/>
      <c r="X68" s="75"/>
      <c r="Y68" s="75"/>
      <c r="Z68" s="75"/>
      <c r="AA68" s="1354"/>
      <c r="AB68" s="1354"/>
      <c r="AC68" s="335"/>
      <c r="AD68" s="75"/>
      <c r="AE68" s="335"/>
      <c r="AF68" s="335"/>
      <c r="AG68" s="335"/>
      <c r="AH68" s="335"/>
      <c r="AI68" s="75"/>
      <c r="AJ68" s="75"/>
      <c r="AK68" s="75"/>
      <c r="AL68" s="75"/>
      <c r="AM68" s="75"/>
      <c r="AN68" s="1354"/>
      <c r="AO68" s="1354"/>
      <c r="AP68" s="335"/>
      <c r="AQ68" s="75"/>
      <c r="AR68" s="335"/>
      <c r="AS68" s="335"/>
      <c r="AT68" s="335"/>
      <c r="AU68" s="335"/>
      <c r="AV68" s="75"/>
      <c r="AW68" s="75"/>
      <c r="AX68" s="75"/>
      <c r="AY68" s="75"/>
      <c r="AZ68" s="75"/>
      <c r="BA68" s="1354"/>
      <c r="BB68" s="1354"/>
      <c r="BC68" s="335"/>
      <c r="BD68" s="75"/>
      <c r="BE68" s="75"/>
      <c r="BF68" s="75"/>
      <c r="BG68" s="732"/>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2"/>
      <c r="CE68" s="732"/>
      <c r="CF68" s="732"/>
      <c r="CG68" s="732"/>
      <c r="CH68" s="732"/>
      <c r="CI68" s="732"/>
      <c r="CJ68" s="732"/>
      <c r="CK68" s="732"/>
      <c r="CL68" s="732"/>
      <c r="CM68" s="732"/>
      <c r="CN68" s="732"/>
      <c r="CO68" s="732"/>
      <c r="CP68" s="732"/>
      <c r="CQ68" s="732"/>
      <c r="CR68" s="732"/>
      <c r="CS68" s="732"/>
      <c r="CT68" s="732"/>
      <c r="CU68" s="732"/>
      <c r="CV68" s="732"/>
      <c r="CW68" s="732"/>
      <c r="CX68" s="732"/>
      <c r="CY68" s="732"/>
    </row>
    <row r="69" spans="1:103" ht="14.4" hidden="1" x14ac:dyDescent="0.3">
      <c r="A69" s="288"/>
      <c r="B69" s="387" t="str">
        <f t="shared" si="187"/>
        <v>DublinNational Primary&lt;60Segregated</v>
      </c>
      <c r="C69" s="394" t="s">
        <v>2</v>
      </c>
      <c r="D69" s="394" t="s">
        <v>210</v>
      </c>
      <c r="E69" s="339" t="s">
        <v>287</v>
      </c>
      <c r="F69" s="302" t="s">
        <v>286</v>
      </c>
      <c r="G69" s="339">
        <v>0.96699999999999997</v>
      </c>
      <c r="H69" s="335"/>
      <c r="I69" s="1546"/>
      <c r="J69" s="1547"/>
      <c r="K69" s="1547"/>
      <c r="L69" s="1546"/>
      <c r="M69" s="335"/>
      <c r="N69" s="335"/>
      <c r="O69" s="335"/>
      <c r="P69" s="335"/>
      <c r="Q69" s="335"/>
      <c r="R69" s="335"/>
      <c r="S69" s="335"/>
      <c r="T69" s="335"/>
      <c r="U69" s="335"/>
      <c r="V69" s="75"/>
      <c r="W69" s="75"/>
      <c r="X69" s="75"/>
      <c r="Y69" s="75"/>
      <c r="Z69" s="75"/>
      <c r="AA69" s="1354"/>
      <c r="AB69" s="1354"/>
      <c r="AC69" s="75"/>
      <c r="AD69" s="75"/>
      <c r="AE69" s="335"/>
      <c r="AF69" s="335"/>
      <c r="AG69" s="335"/>
      <c r="AH69" s="335"/>
      <c r="AI69" s="75"/>
      <c r="AJ69" s="75"/>
      <c r="AK69" s="75"/>
      <c r="AL69" s="75"/>
      <c r="AM69" s="75"/>
      <c r="AN69" s="1354"/>
      <c r="AO69" s="1354"/>
      <c r="AP69" s="75"/>
      <c r="AQ69" s="75"/>
      <c r="AR69" s="335"/>
      <c r="AS69" s="335"/>
      <c r="AT69" s="335"/>
      <c r="AU69" s="335"/>
      <c r="AV69" s="75"/>
      <c r="AW69" s="75"/>
      <c r="AX69" s="75"/>
      <c r="AY69" s="75"/>
      <c r="AZ69" s="75"/>
      <c r="BA69" s="1354"/>
      <c r="BB69" s="1354"/>
      <c r="BC69" s="75"/>
      <c r="BD69" s="75"/>
      <c r="BE69" s="75"/>
      <c r="BF69" s="75"/>
      <c r="BG69" s="732"/>
      <c r="BH69" s="732"/>
      <c r="BI69" s="732"/>
      <c r="BJ69" s="732"/>
      <c r="BK69" s="732"/>
      <c r="BL69" s="732"/>
      <c r="BM69" s="732"/>
      <c r="BN69" s="732"/>
      <c r="BO69" s="732"/>
      <c r="BP69" s="732"/>
      <c r="BQ69" s="732"/>
      <c r="BR69" s="732"/>
      <c r="BS69" s="732"/>
      <c r="BT69" s="732"/>
      <c r="BU69" s="732"/>
      <c r="BV69" s="732"/>
      <c r="BW69" s="732"/>
      <c r="BX69" s="732"/>
      <c r="BY69" s="732"/>
      <c r="BZ69" s="732"/>
      <c r="CA69" s="732"/>
      <c r="CB69" s="732"/>
      <c r="CC69" s="732"/>
      <c r="CD69" s="732"/>
      <c r="CE69" s="732"/>
      <c r="CF69" s="732"/>
      <c r="CG69" s="732"/>
      <c r="CH69" s="732"/>
      <c r="CI69" s="732"/>
      <c r="CJ69" s="732"/>
      <c r="CK69" s="732"/>
      <c r="CL69" s="732"/>
      <c r="CM69" s="732"/>
      <c r="CN69" s="732"/>
      <c r="CO69" s="732"/>
      <c r="CP69" s="732"/>
      <c r="CQ69" s="732"/>
      <c r="CR69" s="732"/>
      <c r="CS69" s="732"/>
      <c r="CT69" s="732"/>
      <c r="CU69" s="732"/>
      <c r="CV69" s="732"/>
      <c r="CW69" s="732"/>
      <c r="CX69" s="732"/>
      <c r="CY69" s="732"/>
    </row>
    <row r="70" spans="1:103" ht="14.4" hidden="1" x14ac:dyDescent="0.3">
      <c r="A70" s="288"/>
      <c r="B70" s="387" t="str">
        <f t="shared" si="187"/>
        <v>DublinNational Primary&gt;60Non.-Segregated</v>
      </c>
      <c r="C70" s="394" t="s">
        <v>2</v>
      </c>
      <c r="D70" s="394" t="s">
        <v>210</v>
      </c>
      <c r="E70" s="339" t="s">
        <v>285</v>
      </c>
      <c r="F70" s="302" t="s">
        <v>288</v>
      </c>
      <c r="G70" s="339">
        <v>0.95499999999999996</v>
      </c>
      <c r="H70" s="335"/>
      <c r="I70" s="1546"/>
      <c r="J70" s="1547"/>
      <c r="K70" s="1547"/>
      <c r="L70" s="1546"/>
      <c r="M70" s="335"/>
      <c r="N70" s="335"/>
      <c r="O70" s="335"/>
      <c r="P70" s="335"/>
      <c r="Q70" s="335"/>
      <c r="R70" s="335"/>
      <c r="S70" s="335"/>
      <c r="T70" s="335"/>
      <c r="U70" s="335"/>
      <c r="V70" s="81"/>
      <c r="W70" s="81"/>
      <c r="X70" s="81"/>
      <c r="Y70" s="81"/>
      <c r="Z70" s="81"/>
      <c r="AA70" s="1009"/>
      <c r="AB70" s="1009"/>
      <c r="AC70" s="335"/>
      <c r="AD70" s="396"/>
      <c r="AE70" s="335"/>
      <c r="AF70" s="335"/>
      <c r="AG70" s="335"/>
      <c r="AH70" s="335"/>
      <c r="AI70" s="81"/>
      <c r="AJ70" s="81"/>
      <c r="AK70" s="81"/>
      <c r="AL70" s="81"/>
      <c r="AM70" s="81"/>
      <c r="AN70" s="1009"/>
      <c r="AO70" s="1009"/>
      <c r="AP70" s="335"/>
      <c r="AQ70" s="396"/>
      <c r="AR70" s="335"/>
      <c r="AS70" s="335"/>
      <c r="AT70" s="335"/>
      <c r="AU70" s="335"/>
      <c r="AV70" s="81"/>
      <c r="AW70" s="81"/>
      <c r="AX70" s="81"/>
      <c r="AY70" s="81"/>
      <c r="AZ70" s="81"/>
      <c r="BA70" s="1009"/>
      <c r="BB70" s="1009"/>
      <c r="BC70" s="335"/>
      <c r="BD70" s="396"/>
      <c r="BE70" s="396"/>
      <c r="BF70" s="396"/>
      <c r="BG70" s="732"/>
      <c r="BH70" s="732"/>
      <c r="BI70" s="732"/>
      <c r="BJ70" s="732"/>
      <c r="BK70" s="732"/>
      <c r="BL70" s="732"/>
      <c r="BM70" s="732"/>
      <c r="BN70" s="732"/>
      <c r="BO70" s="732"/>
      <c r="BP70" s="732"/>
      <c r="BQ70" s="732"/>
      <c r="BR70" s="732"/>
      <c r="BS70" s="732"/>
      <c r="BT70" s="732"/>
      <c r="BU70" s="732"/>
      <c r="BV70" s="732"/>
      <c r="BW70" s="732"/>
      <c r="BX70" s="732"/>
      <c r="BY70" s="732"/>
      <c r="BZ70" s="732"/>
      <c r="CA70" s="732"/>
      <c r="CB70" s="732"/>
      <c r="CC70" s="732"/>
      <c r="CD70" s="732"/>
      <c r="CE70" s="732"/>
      <c r="CF70" s="732"/>
      <c r="CG70" s="732"/>
      <c r="CH70" s="732"/>
      <c r="CI70" s="732"/>
      <c r="CJ70" s="732"/>
      <c r="CK70" s="732"/>
      <c r="CL70" s="732"/>
      <c r="CM70" s="732"/>
      <c r="CN70" s="732"/>
      <c r="CO70" s="732"/>
      <c r="CP70" s="732"/>
      <c r="CQ70" s="732"/>
      <c r="CR70" s="732"/>
      <c r="CS70" s="732"/>
      <c r="CT70" s="732"/>
      <c r="CU70" s="732"/>
      <c r="CV70" s="732"/>
      <c r="CW70" s="732"/>
      <c r="CX70" s="732"/>
      <c r="CY70" s="732"/>
    </row>
    <row r="71" spans="1:103" ht="14.4" hidden="1" x14ac:dyDescent="0.3">
      <c r="A71" s="288"/>
      <c r="B71" s="387" t="str">
        <f t="shared" si="187"/>
        <v>DublinNational Primary&lt;60Non.-Segregated</v>
      </c>
      <c r="C71" s="393" t="s">
        <v>2</v>
      </c>
      <c r="D71" s="394" t="s">
        <v>210</v>
      </c>
      <c r="E71" s="339" t="s">
        <v>287</v>
      </c>
      <c r="F71" s="302" t="s">
        <v>288</v>
      </c>
      <c r="G71" s="395">
        <v>0.95899999999999996</v>
      </c>
      <c r="H71" s="288"/>
      <c r="I71" s="397">
        <f>H8</f>
        <v>1.01392284</v>
      </c>
      <c r="J71" s="398">
        <f>I71</f>
        <v>1.01392284</v>
      </c>
      <c r="K71" s="399">
        <f>G37</f>
        <v>0.95599999999999996</v>
      </c>
      <c r="L71" s="395">
        <f>J71*K71</f>
        <v>0.96931023503999991</v>
      </c>
      <c r="M71" s="288"/>
      <c r="N71" s="288"/>
      <c r="O71" s="288"/>
      <c r="P71" s="288"/>
      <c r="Q71" s="288"/>
      <c r="R71" s="288"/>
      <c r="S71" s="288"/>
      <c r="T71" s="335"/>
      <c r="U71" s="335"/>
      <c r="V71" s="81"/>
      <c r="W71" s="81"/>
      <c r="X71" s="81"/>
      <c r="Y71" s="81"/>
      <c r="Z71" s="81"/>
      <c r="AA71" s="81"/>
      <c r="AB71" s="81"/>
      <c r="AC71" s="335"/>
      <c r="AD71" s="79"/>
      <c r="AE71" s="288"/>
      <c r="AF71" s="288"/>
      <c r="AG71" s="335"/>
      <c r="AH71" s="335"/>
      <c r="AI71" s="81"/>
      <c r="AJ71" s="81"/>
      <c r="AK71" s="81"/>
      <c r="AL71" s="81"/>
      <c r="AM71" s="81"/>
      <c r="AN71" s="81"/>
      <c r="AO71" s="81"/>
      <c r="AP71" s="335"/>
      <c r="AQ71" s="79"/>
      <c r="AR71" s="288"/>
      <c r="AS71" s="288"/>
      <c r="AT71" s="335"/>
      <c r="AU71" s="335"/>
      <c r="AV71" s="81"/>
      <c r="AW71" s="81"/>
      <c r="AX71" s="81"/>
      <c r="AY71" s="81"/>
      <c r="AZ71" s="81"/>
      <c r="BA71" s="81"/>
      <c r="BB71" s="81"/>
      <c r="BC71" s="335"/>
      <c r="BD71" s="79"/>
      <c r="BE71" s="79"/>
      <c r="BF71" s="335"/>
    </row>
    <row r="72" spans="1:103" ht="14.4" hidden="1" x14ac:dyDescent="0.3">
      <c r="A72" s="288"/>
      <c r="B72" s="387" t="str">
        <f t="shared" si="187"/>
        <v>DublinNational Primary&lt;60Other</v>
      </c>
      <c r="C72" s="393" t="s">
        <v>2</v>
      </c>
      <c r="D72" s="394" t="s">
        <v>210</v>
      </c>
      <c r="E72" s="339" t="s">
        <v>287</v>
      </c>
      <c r="F72" s="302" t="s">
        <v>289</v>
      </c>
      <c r="G72" s="395">
        <v>0.95899999999999996</v>
      </c>
      <c r="H72" s="288"/>
      <c r="I72" s="400">
        <f>H8</f>
        <v>1.01392284</v>
      </c>
      <c r="J72" s="398">
        <f>J71*I72</f>
        <v>1.0280395254736656</v>
      </c>
      <c r="K72" s="399">
        <f>K71</f>
        <v>0.95599999999999996</v>
      </c>
      <c r="L72" s="395">
        <f t="shared" ref="L72:L100" si="188">J72*K72</f>
        <v>0.98280578635282434</v>
      </c>
      <c r="M72" s="288"/>
      <c r="N72" s="288"/>
      <c r="O72" s="288"/>
      <c r="P72" s="288"/>
      <c r="Q72" s="288"/>
      <c r="R72" s="288"/>
      <c r="S72" s="288"/>
      <c r="T72" s="335"/>
      <c r="U72" s="335"/>
      <c r="V72" s="81"/>
      <c r="W72" s="81"/>
      <c r="X72" s="81"/>
      <c r="Y72" s="81"/>
      <c r="Z72" s="81"/>
      <c r="AA72" s="1009"/>
      <c r="AB72" s="1009"/>
      <c r="AC72" s="335"/>
      <c r="AD72" s="259"/>
      <c r="AE72" s="288"/>
      <c r="AF72" s="288"/>
      <c r="AG72" s="335"/>
      <c r="AH72" s="335"/>
      <c r="AI72" s="81"/>
      <c r="AJ72" s="81"/>
      <c r="AK72" s="81"/>
      <c r="AL72" s="81"/>
      <c r="AM72" s="81"/>
      <c r="AN72" s="1009"/>
      <c r="AO72" s="1009"/>
      <c r="AP72" s="335"/>
      <c r="AQ72" s="259"/>
      <c r="AR72" s="288"/>
      <c r="AS72" s="288"/>
      <c r="AT72" s="335"/>
      <c r="AU72" s="335"/>
      <c r="AV72" s="81"/>
      <c r="AW72" s="81"/>
      <c r="AX72" s="81"/>
      <c r="AY72" s="81"/>
      <c r="AZ72" s="81"/>
      <c r="BA72" s="1009"/>
      <c r="BB72" s="1009"/>
      <c r="BC72" s="335"/>
      <c r="BD72" s="259"/>
      <c r="BE72" s="259"/>
      <c r="BF72" s="335"/>
    </row>
    <row r="73" spans="1:103" ht="14.4" hidden="1" x14ac:dyDescent="0.3">
      <c r="A73" s="288"/>
      <c r="B73" s="387" t="str">
        <f t="shared" si="187"/>
        <v>DublinNational Secondary&gt;60Segregated</v>
      </c>
      <c r="C73" s="393" t="s">
        <v>2</v>
      </c>
      <c r="D73" s="394" t="s">
        <v>211</v>
      </c>
      <c r="E73" s="339" t="s">
        <v>285</v>
      </c>
      <c r="F73" s="302" t="s">
        <v>286</v>
      </c>
      <c r="G73" s="395">
        <v>0.95599999999999996</v>
      </c>
      <c r="H73" s="288"/>
      <c r="I73" s="400">
        <f>H8</f>
        <v>1.01392284</v>
      </c>
      <c r="J73" s="398">
        <f>J72*I73</f>
        <v>1.0423527553005114</v>
      </c>
      <c r="K73" s="399">
        <f>K71</f>
        <v>0.95599999999999996</v>
      </c>
      <c r="L73" s="395">
        <f t="shared" si="188"/>
        <v>0.99648923406728884</v>
      </c>
      <c r="M73" s="288"/>
      <c r="N73" s="288"/>
      <c r="O73" s="288"/>
      <c r="P73" s="288"/>
      <c r="Q73" s="288"/>
      <c r="R73" s="288"/>
      <c r="S73" s="288"/>
      <c r="T73" s="335"/>
      <c r="U73" s="335"/>
      <c r="V73" s="81"/>
      <c r="W73" s="81"/>
      <c r="X73" s="81"/>
      <c r="Y73" s="81"/>
      <c r="Z73" s="81"/>
      <c r="AA73" s="1009"/>
      <c r="AB73" s="1009"/>
      <c r="AC73" s="335"/>
      <c r="AD73" s="259"/>
      <c r="AE73" s="288"/>
      <c r="AF73" s="288"/>
      <c r="AG73" s="335"/>
      <c r="AH73" s="335"/>
      <c r="AI73" s="81"/>
      <c r="AJ73" s="81"/>
      <c r="AK73" s="81"/>
      <c r="AL73" s="81"/>
      <c r="AM73" s="81"/>
      <c r="AN73" s="1009"/>
      <c r="AO73" s="1009"/>
      <c r="AP73" s="335"/>
      <c r="AQ73" s="259"/>
      <c r="AR73" s="288"/>
      <c r="AS73" s="288"/>
      <c r="AT73" s="335"/>
      <c r="AU73" s="335"/>
      <c r="AV73" s="81"/>
      <c r="AW73" s="81"/>
      <c r="AX73" s="81"/>
      <c r="AY73" s="81"/>
      <c r="AZ73" s="81"/>
      <c r="BA73" s="1009"/>
      <c r="BB73" s="1009"/>
      <c r="BC73" s="335"/>
      <c r="BD73" s="259"/>
      <c r="BE73" s="259"/>
      <c r="BF73" s="335"/>
    </row>
    <row r="74" spans="1:103" ht="14.4" hidden="1" x14ac:dyDescent="0.3">
      <c r="A74" s="288"/>
      <c r="B74" s="387" t="str">
        <f t="shared" si="187"/>
        <v>DublinNational Secondary&lt;60Segregated</v>
      </c>
      <c r="C74" s="393" t="s">
        <v>2</v>
      </c>
      <c r="D74" s="394" t="s">
        <v>211</v>
      </c>
      <c r="E74" s="339" t="s">
        <v>287</v>
      </c>
      <c r="F74" s="302" t="s">
        <v>286</v>
      </c>
      <c r="G74" s="395">
        <v>0.96699999999999997</v>
      </c>
      <c r="H74" s="288"/>
      <c r="I74" s="400">
        <f>H8</f>
        <v>1.01392284</v>
      </c>
      <c r="J74" s="398">
        <f t="shared" ref="J74:J100" si="189">J73*I74</f>
        <v>1.0568652659361195</v>
      </c>
      <c r="K74" s="399">
        <f>K71</f>
        <v>0.95599999999999996</v>
      </c>
      <c r="L74" s="395">
        <f t="shared" si="188"/>
        <v>1.0103631942349303</v>
      </c>
      <c r="M74" s="288"/>
      <c r="N74" s="288"/>
      <c r="O74" s="288"/>
      <c r="P74" s="288"/>
      <c r="Q74" s="288"/>
      <c r="R74" s="288"/>
      <c r="S74" s="288"/>
      <c r="T74" s="335"/>
      <c r="U74" s="335"/>
      <c r="V74" s="81"/>
      <c r="W74" s="81"/>
      <c r="X74" s="81"/>
      <c r="Y74" s="81"/>
      <c r="Z74" s="81"/>
      <c r="AA74" s="1009"/>
      <c r="AB74" s="1009"/>
      <c r="AC74" s="335"/>
      <c r="AD74" s="259"/>
      <c r="AE74" s="288"/>
      <c r="AF74" s="288"/>
      <c r="AG74" s="335"/>
      <c r="AH74" s="335"/>
      <c r="AI74" s="81"/>
      <c r="AJ74" s="81"/>
      <c r="AK74" s="81"/>
      <c r="AL74" s="81"/>
      <c r="AM74" s="81"/>
      <c r="AN74" s="1009"/>
      <c r="AO74" s="1009"/>
      <c r="AP74" s="335"/>
      <c r="AQ74" s="259"/>
      <c r="AR74" s="288"/>
      <c r="AS74" s="288"/>
      <c r="AT74" s="335"/>
      <c r="AU74" s="335"/>
      <c r="AV74" s="81"/>
      <c r="AW74" s="81"/>
      <c r="AX74" s="81"/>
      <c r="AY74" s="81"/>
      <c r="AZ74" s="81"/>
      <c r="BA74" s="1009"/>
      <c r="BB74" s="1009"/>
      <c r="BC74" s="335"/>
      <c r="BD74" s="259"/>
      <c r="BE74" s="259"/>
      <c r="BF74" s="335"/>
    </row>
    <row r="75" spans="1:103" ht="14.4" hidden="1" x14ac:dyDescent="0.3">
      <c r="A75" s="288"/>
      <c r="B75" s="387" t="str">
        <f t="shared" si="187"/>
        <v>DublinNational Secondary&gt;60Non.-Segregated</v>
      </c>
      <c r="C75" s="393" t="s">
        <v>2</v>
      </c>
      <c r="D75" s="394" t="s">
        <v>211</v>
      </c>
      <c r="E75" s="339" t="s">
        <v>285</v>
      </c>
      <c r="F75" s="302" t="s">
        <v>288</v>
      </c>
      <c r="G75" s="395">
        <v>0.95499999999999996</v>
      </c>
      <c r="H75" s="288"/>
      <c r="I75" s="400">
        <f>H8</f>
        <v>1.01392284</v>
      </c>
      <c r="J75" s="398">
        <f t="shared" si="189"/>
        <v>1.0715798319353056</v>
      </c>
      <c r="K75" s="399">
        <f>K71</f>
        <v>0.95599999999999996</v>
      </c>
      <c r="L75" s="395">
        <f t="shared" si="188"/>
        <v>1.0244303193301521</v>
      </c>
      <c r="M75" s="288"/>
      <c r="N75" s="288"/>
      <c r="O75" s="288"/>
      <c r="P75" s="288"/>
      <c r="Q75" s="288"/>
      <c r="R75" s="288"/>
      <c r="S75" s="288"/>
      <c r="T75" s="335"/>
      <c r="U75" s="335"/>
      <c r="V75" s="81"/>
      <c r="W75" s="81"/>
      <c r="X75" s="81"/>
      <c r="Y75" s="81"/>
      <c r="Z75" s="81"/>
      <c r="AA75" s="1009"/>
      <c r="AB75" s="1009"/>
      <c r="AC75" s="335"/>
      <c r="AD75" s="259"/>
      <c r="AE75" s="288"/>
      <c r="AF75" s="288"/>
      <c r="AG75" s="335"/>
      <c r="AH75" s="335"/>
      <c r="AI75" s="81"/>
      <c r="AJ75" s="81"/>
      <c r="AK75" s="81"/>
      <c r="AL75" s="81"/>
      <c r="AM75" s="81"/>
      <c r="AN75" s="1009"/>
      <c r="AO75" s="1009"/>
      <c r="AP75" s="335"/>
      <c r="AQ75" s="259"/>
      <c r="AR75" s="288"/>
      <c r="AS75" s="288"/>
      <c r="AT75" s="335"/>
      <c r="AU75" s="335"/>
      <c r="AV75" s="81"/>
      <c r="AW75" s="81"/>
      <c r="AX75" s="81"/>
      <c r="AY75" s="81"/>
      <c r="AZ75" s="81"/>
      <c r="BA75" s="1009"/>
      <c r="BB75" s="1009"/>
      <c r="BC75" s="335"/>
      <c r="BD75" s="259"/>
      <c r="BE75" s="259"/>
      <c r="BF75" s="335"/>
    </row>
    <row r="76" spans="1:103" ht="14.4" hidden="1" x14ac:dyDescent="0.3">
      <c r="A76" s="288"/>
      <c r="B76" s="387" t="str">
        <f t="shared" si="187"/>
        <v>DublinNational Secondary&lt;60Non.-Segregated</v>
      </c>
      <c r="C76" s="393" t="s">
        <v>2</v>
      </c>
      <c r="D76" s="394" t="s">
        <v>211</v>
      </c>
      <c r="E76" s="339" t="s">
        <v>287</v>
      </c>
      <c r="F76" s="302" t="s">
        <v>288</v>
      </c>
      <c r="G76" s="395">
        <v>0.95899999999999996</v>
      </c>
      <c r="H76" s="288"/>
      <c r="I76" s="400">
        <f>H8</f>
        <v>1.01392284</v>
      </c>
      <c r="J76" s="398">
        <f>J75*I76</f>
        <v>1.0864992664825677</v>
      </c>
      <c r="K76" s="399">
        <f>K71</f>
        <v>0.95599999999999996</v>
      </c>
      <c r="L76" s="395">
        <f>J76*K76</f>
        <v>1.0386932987573347</v>
      </c>
      <c r="M76" s="288"/>
      <c r="N76" s="288"/>
      <c r="O76" s="288"/>
      <c r="P76" s="288"/>
      <c r="Q76" s="288"/>
      <c r="R76" s="288"/>
      <c r="S76" s="288"/>
      <c r="T76" s="335"/>
      <c r="U76" s="335"/>
      <c r="V76" s="81"/>
      <c r="W76" s="81"/>
      <c r="X76" s="81"/>
      <c r="Y76" s="81"/>
      <c r="Z76" s="81"/>
      <c r="AA76" s="1009"/>
      <c r="AB76" s="1009"/>
      <c r="AC76" s="335"/>
      <c r="AD76" s="259"/>
      <c r="AE76" s="288"/>
      <c r="AF76" s="288"/>
      <c r="AG76" s="335"/>
      <c r="AH76" s="335"/>
      <c r="AI76" s="81"/>
      <c r="AJ76" s="81"/>
      <c r="AK76" s="81"/>
      <c r="AL76" s="81"/>
      <c r="AM76" s="81"/>
      <c r="AN76" s="1009"/>
      <c r="AO76" s="1009"/>
      <c r="AP76" s="335"/>
      <c r="AQ76" s="259"/>
      <c r="AR76" s="288"/>
      <c r="AS76" s="288"/>
      <c r="AT76" s="335"/>
      <c r="AU76" s="335"/>
      <c r="AV76" s="81"/>
      <c r="AW76" s="81"/>
      <c r="AX76" s="81"/>
      <c r="AY76" s="81"/>
      <c r="AZ76" s="81"/>
      <c r="BA76" s="1009"/>
      <c r="BB76" s="1009"/>
      <c r="BC76" s="335"/>
      <c r="BD76" s="259"/>
      <c r="BE76" s="259"/>
      <c r="BF76" s="335"/>
    </row>
    <row r="77" spans="1:103" ht="15" hidden="1" thickBot="1" x14ac:dyDescent="0.35">
      <c r="A77" s="288"/>
      <c r="B77" s="387" t="str">
        <f t="shared" si="187"/>
        <v>DublinNational Secondary&lt;60Other</v>
      </c>
      <c r="C77" s="401" t="s">
        <v>2</v>
      </c>
      <c r="D77" s="402" t="s">
        <v>211</v>
      </c>
      <c r="E77" s="403" t="s">
        <v>287</v>
      </c>
      <c r="F77" s="404" t="s">
        <v>289</v>
      </c>
      <c r="G77" s="405">
        <v>0.95899999999999996</v>
      </c>
      <c r="H77" s="288"/>
      <c r="I77" s="400">
        <f>H8</f>
        <v>1.01392284</v>
      </c>
      <c r="J77" s="398">
        <f>J76*I77</f>
        <v>1.1016264219299219</v>
      </c>
      <c r="K77" s="399">
        <f>K71</f>
        <v>0.95599999999999996</v>
      </c>
      <c r="L77" s="395">
        <f t="shared" si="188"/>
        <v>1.0531548593650053</v>
      </c>
      <c r="M77" s="288"/>
      <c r="N77" s="288"/>
      <c r="O77" s="288"/>
      <c r="P77" s="288"/>
      <c r="Q77" s="288"/>
      <c r="R77" s="288"/>
      <c r="S77" s="288"/>
      <c r="T77" s="335"/>
      <c r="U77" s="335"/>
      <c r="V77" s="335"/>
      <c r="W77" s="335"/>
      <c r="X77" s="335"/>
      <c r="Y77" s="335"/>
      <c r="Z77" s="335"/>
      <c r="AA77" s="335"/>
      <c r="AB77" s="335"/>
      <c r="AC77" s="335"/>
      <c r="AD77" s="335"/>
      <c r="AE77" s="288"/>
      <c r="AF77" s="288"/>
      <c r="AG77" s="335"/>
      <c r="AH77" s="335"/>
      <c r="AI77" s="335"/>
      <c r="AJ77" s="335"/>
      <c r="AK77" s="335"/>
      <c r="AL77" s="335"/>
      <c r="AM77" s="335"/>
      <c r="AN77" s="335"/>
      <c r="AO77" s="335"/>
      <c r="AP77" s="335"/>
      <c r="AQ77" s="335"/>
      <c r="AR77" s="288"/>
      <c r="AS77" s="288"/>
      <c r="AT77" s="335"/>
      <c r="AU77" s="335"/>
      <c r="AV77" s="335"/>
      <c r="AW77" s="335"/>
      <c r="AX77" s="335"/>
      <c r="AY77" s="335"/>
      <c r="AZ77" s="335"/>
      <c r="BA77" s="335"/>
      <c r="BB77" s="335"/>
      <c r="BC77" s="335"/>
      <c r="BD77" s="335"/>
      <c r="BE77" s="335"/>
      <c r="BF77" s="335"/>
    </row>
    <row r="78" spans="1:103" ht="14.4" hidden="1" x14ac:dyDescent="0.3">
      <c r="A78" s="288"/>
      <c r="B78" s="387" t="str">
        <f t="shared" si="187"/>
        <v>Mid-EastMotorway&gt;60Motorway</v>
      </c>
      <c r="C78" s="388" t="s">
        <v>212</v>
      </c>
      <c r="D78" s="389" t="s">
        <v>28</v>
      </c>
      <c r="E78" s="390" t="s">
        <v>285</v>
      </c>
      <c r="F78" s="391" t="s">
        <v>28</v>
      </c>
      <c r="G78" s="392">
        <v>0.95599999999999996</v>
      </c>
      <c r="H78" s="288"/>
      <c r="I78" s="400">
        <f>H8</f>
        <v>1.01392284</v>
      </c>
      <c r="J78" s="398">
        <f>J77*I78</f>
        <v>1.1169641903422247</v>
      </c>
      <c r="K78" s="399">
        <f>K71</f>
        <v>0.95599999999999996</v>
      </c>
      <c r="L78" s="395">
        <f t="shared" si="188"/>
        <v>1.0678177659671668</v>
      </c>
      <c r="M78" s="288"/>
      <c r="N78" s="288"/>
      <c r="O78" s="288"/>
      <c r="P78" s="288"/>
      <c r="Q78" s="288"/>
      <c r="R78" s="288"/>
      <c r="S78" s="288"/>
      <c r="T78" s="335"/>
      <c r="U78" s="335"/>
      <c r="V78" s="335"/>
      <c r="W78" s="335"/>
      <c r="X78" s="335"/>
      <c r="Y78" s="335"/>
      <c r="Z78" s="335"/>
      <c r="AA78" s="335"/>
      <c r="AB78" s="335"/>
      <c r="AC78" s="335"/>
      <c r="AD78" s="335"/>
      <c r="AE78" s="288"/>
      <c r="AF78" s="288"/>
      <c r="AG78" s="335"/>
      <c r="AH78" s="335"/>
      <c r="AI78" s="335"/>
      <c r="AJ78" s="335"/>
      <c r="AK78" s="335"/>
      <c r="AL78" s="335"/>
      <c r="AM78" s="335"/>
      <c r="AN78" s="335"/>
      <c r="AO78" s="335"/>
      <c r="AP78" s="335"/>
      <c r="AQ78" s="335"/>
      <c r="AR78" s="288"/>
      <c r="AS78" s="288"/>
      <c r="AT78" s="335"/>
      <c r="AU78" s="335"/>
      <c r="AV78" s="335"/>
      <c r="AW78" s="335"/>
      <c r="AX78" s="335"/>
      <c r="AY78" s="335"/>
      <c r="AZ78" s="335"/>
      <c r="BA78" s="335"/>
      <c r="BB78" s="335"/>
      <c r="BC78" s="335"/>
      <c r="BD78" s="335"/>
      <c r="BE78" s="335"/>
      <c r="BF78" s="335"/>
    </row>
    <row r="79" spans="1:103" ht="14.4" hidden="1" x14ac:dyDescent="0.3">
      <c r="A79" s="288"/>
      <c r="B79" s="387" t="str">
        <f t="shared" si="187"/>
        <v>Mid-EastNational Primary&gt;60Segregated</v>
      </c>
      <c r="C79" s="393" t="s">
        <v>212</v>
      </c>
      <c r="D79" s="394" t="s">
        <v>210</v>
      </c>
      <c r="E79" s="339" t="s">
        <v>285</v>
      </c>
      <c r="F79" s="302" t="s">
        <v>286</v>
      </c>
      <c r="G79" s="395">
        <v>0.95599999999999996</v>
      </c>
      <c r="H79" s="288"/>
      <c r="I79" s="400">
        <f>H8</f>
        <v>1.01392284</v>
      </c>
      <c r="J79" s="398">
        <f t="shared" si="189"/>
        <v>1.1325155040500889</v>
      </c>
      <c r="K79" s="399">
        <f>K71</f>
        <v>0.95599999999999996</v>
      </c>
      <c r="L79" s="395">
        <f t="shared" si="188"/>
        <v>1.082684821871885</v>
      </c>
      <c r="M79" s="288"/>
      <c r="N79" s="288"/>
      <c r="O79" s="288"/>
      <c r="P79" s="288"/>
      <c r="Q79" s="288"/>
      <c r="R79" s="288"/>
      <c r="S79" s="288"/>
      <c r="T79" s="335"/>
      <c r="U79" s="335"/>
      <c r="V79" s="335"/>
      <c r="W79" s="335"/>
      <c r="X79" s="335"/>
      <c r="Y79" s="335"/>
      <c r="Z79" s="335"/>
      <c r="AA79" s="335"/>
      <c r="AB79" s="335"/>
      <c r="AC79" s="335"/>
      <c r="AD79" s="335"/>
      <c r="AE79" s="288"/>
      <c r="AF79" s="288"/>
      <c r="AG79" s="335"/>
      <c r="AH79" s="335"/>
      <c r="AI79" s="335"/>
      <c r="AJ79" s="335"/>
      <c r="AK79" s="335"/>
      <c r="AL79" s="335"/>
      <c r="AM79" s="335"/>
      <c r="AN79" s="335"/>
      <c r="AO79" s="335"/>
      <c r="AP79" s="335"/>
      <c r="AQ79" s="335"/>
      <c r="AR79" s="288"/>
      <c r="AS79" s="288"/>
      <c r="AT79" s="335"/>
      <c r="AU79" s="335"/>
      <c r="AV79" s="335"/>
      <c r="AW79" s="335"/>
      <c r="AX79" s="335"/>
      <c r="AY79" s="335"/>
      <c r="AZ79" s="335"/>
      <c r="BA79" s="335"/>
      <c r="BB79" s="335"/>
      <c r="BC79" s="335"/>
      <c r="BD79" s="335"/>
      <c r="BE79" s="335"/>
      <c r="BF79" s="335"/>
    </row>
    <row r="80" spans="1:103" ht="14.4" hidden="1" x14ac:dyDescent="0.3">
      <c r="A80" s="288"/>
      <c r="B80" s="387" t="str">
        <f t="shared" si="187"/>
        <v>Mid-EastNational Primary&lt;60Segregated</v>
      </c>
      <c r="C80" s="393" t="s">
        <v>212</v>
      </c>
      <c r="D80" s="394" t="s">
        <v>210</v>
      </c>
      <c r="E80" s="339" t="s">
        <v>287</v>
      </c>
      <c r="F80" s="302" t="s">
        <v>286</v>
      </c>
      <c r="G80" s="395">
        <v>0.96699999999999997</v>
      </c>
      <c r="H80" s="288"/>
      <c r="I80" s="400">
        <f>H8</f>
        <v>1.01392284</v>
      </c>
      <c r="J80" s="398">
        <f t="shared" si="189"/>
        <v>1.1482833362104976</v>
      </c>
      <c r="K80" s="399">
        <f>K71</f>
        <v>0.95599999999999996</v>
      </c>
      <c r="L80" s="395">
        <f t="shared" si="188"/>
        <v>1.0977588694172358</v>
      </c>
      <c r="M80" s="288"/>
      <c r="N80" s="288"/>
      <c r="O80" s="288"/>
      <c r="P80" s="288"/>
      <c r="Q80" s="288"/>
      <c r="R80" s="288"/>
      <c r="S80" s="288"/>
      <c r="T80" s="335"/>
      <c r="U80" s="335"/>
      <c r="V80" s="335"/>
      <c r="W80" s="335"/>
      <c r="X80" s="335"/>
      <c r="Y80" s="335"/>
      <c r="Z80" s="335"/>
      <c r="AA80" s="335"/>
      <c r="AB80" s="335"/>
      <c r="AC80" s="335"/>
      <c r="AD80" s="335"/>
      <c r="AE80" s="288"/>
      <c r="AF80" s="288"/>
      <c r="AG80" s="335"/>
      <c r="AH80" s="335"/>
      <c r="AI80" s="335"/>
      <c r="AJ80" s="335"/>
      <c r="AK80" s="335"/>
      <c r="AL80" s="335"/>
      <c r="AM80" s="335"/>
      <c r="AN80" s="335"/>
      <c r="AO80" s="335"/>
      <c r="AP80" s="335"/>
      <c r="AQ80" s="335"/>
      <c r="AR80" s="288"/>
      <c r="AS80" s="288"/>
      <c r="AT80" s="335"/>
      <c r="AU80" s="335"/>
      <c r="AV80" s="335"/>
      <c r="AW80" s="335"/>
      <c r="AX80" s="335"/>
      <c r="AY80" s="335"/>
      <c r="AZ80" s="335"/>
      <c r="BA80" s="335"/>
      <c r="BB80" s="335"/>
      <c r="BC80" s="335"/>
      <c r="BD80" s="335"/>
      <c r="BE80" s="335"/>
      <c r="BF80" s="335"/>
    </row>
    <row r="81" spans="1:58" ht="14.4" hidden="1" x14ac:dyDescent="0.3">
      <c r="A81" s="288"/>
      <c r="B81" s="387" t="str">
        <f t="shared" si="187"/>
        <v>Mid-EastNational Primary&gt;60Non.-Segregated</v>
      </c>
      <c r="C81" s="393" t="s">
        <v>212</v>
      </c>
      <c r="D81" s="394" t="s">
        <v>210</v>
      </c>
      <c r="E81" s="339" t="s">
        <v>285</v>
      </c>
      <c r="F81" s="302" t="s">
        <v>288</v>
      </c>
      <c r="G81" s="395">
        <v>0.95499999999999996</v>
      </c>
      <c r="H81" s="288"/>
      <c r="I81" s="400">
        <f>H8</f>
        <v>1.01392284</v>
      </c>
      <c r="J81" s="398">
        <f t="shared" si="189"/>
        <v>1.1642707013752225</v>
      </c>
      <c r="K81" s="399">
        <f>K71</f>
        <v>0.95599999999999996</v>
      </c>
      <c r="L81" s="395">
        <f t="shared" si="188"/>
        <v>1.1130427905147127</v>
      </c>
      <c r="M81" s="288"/>
      <c r="N81" s="288"/>
      <c r="O81" s="288"/>
      <c r="P81" s="288"/>
      <c r="Q81" s="288"/>
      <c r="R81" s="288"/>
      <c r="S81" s="288"/>
      <c r="T81" s="335"/>
      <c r="U81" s="335"/>
      <c r="V81" s="335"/>
      <c r="W81" s="335"/>
      <c r="X81" s="335"/>
      <c r="Y81" s="335"/>
      <c r="Z81" s="335"/>
      <c r="AA81" s="335"/>
      <c r="AB81" s="335"/>
      <c r="AC81" s="335"/>
      <c r="AD81" s="335"/>
      <c r="AE81" s="288"/>
      <c r="AF81" s="288"/>
      <c r="AG81" s="335"/>
      <c r="AH81" s="335"/>
      <c r="AI81" s="335"/>
      <c r="AJ81" s="335"/>
      <c r="AK81" s="335"/>
      <c r="AL81" s="335"/>
      <c r="AM81" s="335"/>
      <c r="AN81" s="335"/>
      <c r="AO81" s="335"/>
      <c r="AP81" s="335"/>
      <c r="AQ81" s="335"/>
      <c r="AR81" s="288"/>
      <c r="AS81" s="288"/>
      <c r="AT81" s="335"/>
      <c r="AU81" s="335"/>
      <c r="AV81" s="335"/>
      <c r="AW81" s="335"/>
      <c r="AX81" s="335"/>
      <c r="AY81" s="335"/>
      <c r="AZ81" s="335"/>
      <c r="BA81" s="335"/>
      <c r="BB81" s="335"/>
      <c r="BC81" s="335"/>
      <c r="BD81" s="335"/>
      <c r="BE81" s="335"/>
      <c r="BF81" s="335"/>
    </row>
    <row r="82" spans="1:58" ht="14.4" hidden="1" x14ac:dyDescent="0.3">
      <c r="A82" s="288"/>
      <c r="B82" s="387" t="str">
        <f t="shared" si="187"/>
        <v>Mid-EastNational Primary&lt;60Non.-Segregated</v>
      </c>
      <c r="C82" s="393" t="s">
        <v>212</v>
      </c>
      <c r="D82" s="394" t="s">
        <v>210</v>
      </c>
      <c r="E82" s="339" t="s">
        <v>287</v>
      </c>
      <c r="F82" s="302" t="s">
        <v>288</v>
      </c>
      <c r="G82" s="395">
        <v>0.95899999999999996</v>
      </c>
      <c r="H82" s="288"/>
      <c r="I82" s="400">
        <f>H8</f>
        <v>1.01392284</v>
      </c>
      <c r="J82" s="398">
        <f t="shared" si="189"/>
        <v>1.1804806560671575</v>
      </c>
      <c r="K82" s="399">
        <f>K71</f>
        <v>0.95599999999999996</v>
      </c>
      <c r="L82" s="395">
        <f t="shared" si="188"/>
        <v>1.1285395072002025</v>
      </c>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row>
    <row r="83" spans="1:58" ht="14.4" hidden="1" x14ac:dyDescent="0.3">
      <c r="A83" s="288"/>
      <c r="B83" s="387" t="str">
        <f t="shared" si="187"/>
        <v>Mid-EastNational Primary&lt;60Other</v>
      </c>
      <c r="C83" s="393" t="s">
        <v>212</v>
      </c>
      <c r="D83" s="394" t="s">
        <v>210</v>
      </c>
      <c r="E83" s="339" t="s">
        <v>287</v>
      </c>
      <c r="F83" s="302" t="s">
        <v>289</v>
      </c>
      <c r="G83" s="395">
        <v>0.95899999999999996</v>
      </c>
      <c r="H83" s="288"/>
      <c r="I83" s="400">
        <f>H8</f>
        <v>1.01392284</v>
      </c>
      <c r="J83" s="398">
        <f>J82*I83</f>
        <v>1.1969162993646756</v>
      </c>
      <c r="K83" s="399">
        <f>K71</f>
        <v>0.95599999999999996</v>
      </c>
      <c r="L83" s="395">
        <f t="shared" si="188"/>
        <v>1.1442519821926298</v>
      </c>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row>
    <row r="84" spans="1:58" ht="14.4" hidden="1" x14ac:dyDescent="0.3">
      <c r="A84" s="288"/>
      <c r="B84" s="387" t="str">
        <f t="shared" si="187"/>
        <v>Mid-EastNational Secondary&gt;60Segregated</v>
      </c>
      <c r="C84" s="393" t="s">
        <v>212</v>
      </c>
      <c r="D84" s="394" t="s">
        <v>211</v>
      </c>
      <c r="E84" s="339" t="s">
        <v>285</v>
      </c>
      <c r="F84" s="302" t="s">
        <v>286</v>
      </c>
      <c r="G84" s="395">
        <v>0.95599999999999996</v>
      </c>
      <c r="H84" s="288"/>
      <c r="I84" s="400">
        <f>H8</f>
        <v>1.01392284</v>
      </c>
      <c r="J84" s="398">
        <f t="shared" si="189"/>
        <v>1.213580773494122</v>
      </c>
      <c r="K84" s="399">
        <f>K71</f>
        <v>0.95599999999999996</v>
      </c>
      <c r="L84" s="395">
        <f t="shared" si="188"/>
        <v>1.1601832194603805</v>
      </c>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row>
    <row r="85" spans="1:58" ht="14.4" hidden="1" x14ac:dyDescent="0.3">
      <c r="A85" s="288"/>
      <c r="B85" s="387" t="str">
        <f t="shared" si="187"/>
        <v>Mid-EastNational Secondary&lt;60Segregated</v>
      </c>
      <c r="C85" s="393" t="s">
        <v>212</v>
      </c>
      <c r="D85" s="394" t="s">
        <v>211</v>
      </c>
      <c r="E85" s="339" t="s">
        <v>287</v>
      </c>
      <c r="F85" s="302" t="s">
        <v>286</v>
      </c>
      <c r="G85" s="395">
        <v>0.96699999999999997</v>
      </c>
      <c r="H85" s="288"/>
      <c r="I85" s="400">
        <f>H8</f>
        <v>1.01392284</v>
      </c>
      <c r="J85" s="398">
        <f t="shared" si="189"/>
        <v>1.2304772644305568</v>
      </c>
      <c r="K85" s="399">
        <f>K71</f>
        <v>0.95599999999999996</v>
      </c>
      <c r="L85" s="395">
        <f t="shared" si="188"/>
        <v>1.1763362647956124</v>
      </c>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row>
    <row r="86" spans="1:58" ht="14.4" hidden="1" x14ac:dyDescent="0.3">
      <c r="A86" s="288"/>
      <c r="B86" s="387" t="str">
        <f t="shared" si="187"/>
        <v>Mid-EastNational Secondary&gt;60Non.-Segregated</v>
      </c>
      <c r="C86" s="393" t="s">
        <v>212</v>
      </c>
      <c r="D86" s="394" t="s">
        <v>211</v>
      </c>
      <c r="E86" s="339" t="s">
        <v>285</v>
      </c>
      <c r="F86" s="302" t="s">
        <v>288</v>
      </c>
      <c r="G86" s="395">
        <v>0.95499999999999996</v>
      </c>
      <c r="H86" s="288"/>
      <c r="I86" s="400">
        <f>H8</f>
        <v>1.01392284</v>
      </c>
      <c r="J86" s="398">
        <f t="shared" si="189"/>
        <v>1.2476090025068611</v>
      </c>
      <c r="K86" s="399">
        <f>K71</f>
        <v>0.95599999999999996</v>
      </c>
      <c r="L86" s="395">
        <f t="shared" si="188"/>
        <v>1.1927142063965592</v>
      </c>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row>
    <row r="87" spans="1:58" ht="15" hidden="1" thickBot="1" x14ac:dyDescent="0.35">
      <c r="A87" s="288"/>
      <c r="B87" s="387" t="str">
        <f t="shared" si="187"/>
        <v>Mid-EastNational Secondary&lt;60Non.-Segregated</v>
      </c>
      <c r="C87" s="393" t="s">
        <v>212</v>
      </c>
      <c r="D87" s="394" t="s">
        <v>211</v>
      </c>
      <c r="E87" s="339" t="s">
        <v>287</v>
      </c>
      <c r="F87" s="302" t="s">
        <v>288</v>
      </c>
      <c r="G87" s="395">
        <v>0.95899999999999996</v>
      </c>
      <c r="H87" s="288"/>
      <c r="I87" s="400">
        <f>H8</f>
        <v>1.01392284</v>
      </c>
      <c r="J87" s="398">
        <f>J86*I87</f>
        <v>1.2649792630313237</v>
      </c>
      <c r="K87" s="399">
        <f>K71</f>
        <v>0.95599999999999996</v>
      </c>
      <c r="L87" s="395">
        <f t="shared" si="188"/>
        <v>1.2093201754579455</v>
      </c>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row>
    <row r="88" spans="1:58" ht="15" hidden="1" thickBot="1" x14ac:dyDescent="0.35">
      <c r="A88" s="288"/>
      <c r="B88" s="387" t="str">
        <f t="shared" si="187"/>
        <v>Mid-EastNational Secondary&lt;60Other</v>
      </c>
      <c r="C88" s="401" t="s">
        <v>212</v>
      </c>
      <c r="D88" s="402" t="s">
        <v>211</v>
      </c>
      <c r="E88" s="403" t="s">
        <v>287</v>
      </c>
      <c r="F88" s="404" t="s">
        <v>289</v>
      </c>
      <c r="G88" s="405">
        <v>0.95899999999999996</v>
      </c>
      <c r="H88" s="288"/>
      <c r="I88" s="406">
        <f>I8</f>
        <v>1.0045359</v>
      </c>
      <c r="J88" s="407">
        <f>J87*I88</f>
        <v>1.2707170824705074</v>
      </c>
      <c r="K88" s="408">
        <f>K71</f>
        <v>0.95599999999999996</v>
      </c>
      <c r="L88" s="392">
        <f t="shared" si="188"/>
        <v>1.2148055308418051</v>
      </c>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row>
    <row r="89" spans="1:58" ht="14.4" hidden="1" x14ac:dyDescent="0.3">
      <c r="A89" s="288"/>
      <c r="B89" s="387" t="str">
        <f t="shared" si="187"/>
        <v>MidlandMotorway&gt;60Motorway</v>
      </c>
      <c r="C89" s="393" t="s">
        <v>191</v>
      </c>
      <c r="D89" s="394" t="s">
        <v>28</v>
      </c>
      <c r="E89" s="339" t="s">
        <v>285</v>
      </c>
      <c r="F89" s="302" t="s">
        <v>28</v>
      </c>
      <c r="G89" s="395">
        <v>0.95599999999999996</v>
      </c>
      <c r="H89" s="288"/>
      <c r="I89" s="400">
        <f>I8</f>
        <v>1.0045359</v>
      </c>
      <c r="J89" s="398">
        <f>J88*I89</f>
        <v>1.2764809280848854</v>
      </c>
      <c r="K89" s="399">
        <f>K71</f>
        <v>0.95599999999999996</v>
      </c>
      <c r="L89" s="395">
        <f t="shared" si="188"/>
        <v>1.2203157672491505</v>
      </c>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row>
    <row r="90" spans="1:58" ht="14.4" hidden="1" x14ac:dyDescent="0.3">
      <c r="A90" s="288"/>
      <c r="B90" s="387" t="str">
        <f t="shared" si="187"/>
        <v>MidlandNational Primary&gt;60Segregated</v>
      </c>
      <c r="C90" s="393" t="s">
        <v>191</v>
      </c>
      <c r="D90" s="394" t="s">
        <v>210</v>
      </c>
      <c r="E90" s="339" t="s">
        <v>285</v>
      </c>
      <c r="F90" s="302" t="s">
        <v>286</v>
      </c>
      <c r="G90" s="395">
        <v>0.95599999999999996</v>
      </c>
      <c r="H90" s="288"/>
      <c r="I90" s="400">
        <f>I8</f>
        <v>1.0045359</v>
      </c>
      <c r="J90" s="398">
        <f>J89*I90</f>
        <v>1.2822709179265857</v>
      </c>
      <c r="K90" s="399">
        <f>K71</f>
        <v>0.95599999999999996</v>
      </c>
      <c r="L90" s="395">
        <f t="shared" si="188"/>
        <v>1.2258509975378158</v>
      </c>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row>
    <row r="91" spans="1:58" ht="14.4" hidden="1" x14ac:dyDescent="0.3">
      <c r="A91" s="288"/>
      <c r="B91" s="387" t="str">
        <f t="shared" si="187"/>
        <v>MidlandNational Primary&lt;60Segregated</v>
      </c>
      <c r="C91" s="393" t="s">
        <v>191</v>
      </c>
      <c r="D91" s="394" t="s">
        <v>210</v>
      </c>
      <c r="E91" s="339" t="s">
        <v>287</v>
      </c>
      <c r="F91" s="302" t="s">
        <v>286</v>
      </c>
      <c r="G91" s="395">
        <v>0.96699999999999997</v>
      </c>
      <c r="H91" s="288"/>
      <c r="I91" s="400">
        <f>I8</f>
        <v>1.0045359</v>
      </c>
      <c r="J91" s="398">
        <f t="shared" si="189"/>
        <v>1.2880871705832089</v>
      </c>
      <c r="K91" s="399">
        <f>K71</f>
        <v>0.95599999999999996</v>
      </c>
      <c r="L91" s="395">
        <f t="shared" si="188"/>
        <v>1.2314113350775477</v>
      </c>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row>
    <row r="92" spans="1:58" ht="14.4" hidden="1" x14ac:dyDescent="0.3">
      <c r="A92" s="288"/>
      <c r="B92" s="387" t="str">
        <f t="shared" si="187"/>
        <v>MidlandNational Primary&gt;60Non.-Segregated</v>
      </c>
      <c r="C92" s="393" t="s">
        <v>191</v>
      </c>
      <c r="D92" s="394" t="s">
        <v>210</v>
      </c>
      <c r="E92" s="339" t="s">
        <v>285</v>
      </c>
      <c r="F92" s="302" t="s">
        <v>288</v>
      </c>
      <c r="G92" s="395">
        <v>0.95499999999999996</v>
      </c>
      <c r="H92" s="288"/>
      <c r="I92" s="400">
        <f>I8</f>
        <v>1.0045359</v>
      </c>
      <c r="J92" s="398">
        <f t="shared" si="189"/>
        <v>1.2939298051802572</v>
      </c>
      <c r="K92" s="399">
        <f>K71</f>
        <v>0.95599999999999996</v>
      </c>
      <c r="L92" s="395">
        <f t="shared" si="188"/>
        <v>1.2369968937523259</v>
      </c>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row>
    <row r="93" spans="1:58" ht="14.4" hidden="1" x14ac:dyDescent="0.3">
      <c r="A93" s="288"/>
      <c r="B93" s="387" t="str">
        <f t="shared" si="187"/>
        <v>MidlandNational Primary&lt;60Non.-Segregated</v>
      </c>
      <c r="C93" s="393" t="s">
        <v>191</v>
      </c>
      <c r="D93" s="394" t="s">
        <v>210</v>
      </c>
      <c r="E93" s="339" t="s">
        <v>287</v>
      </c>
      <c r="F93" s="302" t="s">
        <v>288</v>
      </c>
      <c r="G93" s="395">
        <v>0.95899999999999996</v>
      </c>
      <c r="H93" s="288"/>
      <c r="I93" s="400">
        <f>I8</f>
        <v>1.0045359</v>
      </c>
      <c r="J93" s="398">
        <f t="shared" si="189"/>
        <v>1.2997989413835744</v>
      </c>
      <c r="K93" s="399">
        <f>K71</f>
        <v>0.95599999999999996</v>
      </c>
      <c r="L93" s="395">
        <f t="shared" si="188"/>
        <v>1.2426077879626971</v>
      </c>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row>
    <row r="94" spans="1:58" ht="14.4" hidden="1" x14ac:dyDescent="0.3">
      <c r="A94" s="288"/>
      <c r="B94" s="387" t="str">
        <f t="shared" si="187"/>
        <v>MidlandNational Primary&lt;60Other</v>
      </c>
      <c r="C94" s="393" t="s">
        <v>191</v>
      </c>
      <c r="D94" s="394" t="s">
        <v>210</v>
      </c>
      <c r="E94" s="339" t="s">
        <v>287</v>
      </c>
      <c r="F94" s="302" t="s">
        <v>289</v>
      </c>
      <c r="G94" s="395">
        <v>0.95899999999999996</v>
      </c>
      <c r="H94" s="288"/>
      <c r="I94" s="400">
        <f>I8</f>
        <v>1.0045359</v>
      </c>
      <c r="J94" s="398">
        <f t="shared" si="189"/>
        <v>1.3056946994017962</v>
      </c>
      <c r="K94" s="399">
        <f>K71</f>
        <v>0.95599999999999996</v>
      </c>
      <c r="L94" s="395">
        <f t="shared" si="188"/>
        <v>1.2482441326281171</v>
      </c>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row>
    <row r="95" spans="1:58" ht="14.4" hidden="1" x14ac:dyDescent="0.3">
      <c r="A95" s="288"/>
      <c r="B95" s="387" t="str">
        <f t="shared" si="187"/>
        <v>MidlandNational Secondary&gt;60Segregated</v>
      </c>
      <c r="C95" s="393" t="s">
        <v>191</v>
      </c>
      <c r="D95" s="394" t="s">
        <v>211</v>
      </c>
      <c r="E95" s="339" t="s">
        <v>285</v>
      </c>
      <c r="F95" s="302" t="s">
        <v>286</v>
      </c>
      <c r="G95" s="395">
        <v>0.95599999999999996</v>
      </c>
      <c r="H95" s="288"/>
      <c r="I95" s="400">
        <f>I8</f>
        <v>1.0045359</v>
      </c>
      <c r="J95" s="398">
        <f t="shared" si="189"/>
        <v>1.3116171999888129</v>
      </c>
      <c r="K95" s="399">
        <f>K71</f>
        <v>0.95599999999999996</v>
      </c>
      <c r="L95" s="395">
        <f t="shared" si="188"/>
        <v>1.253906043189305</v>
      </c>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row>
    <row r="96" spans="1:58" ht="14.4" hidden="1" x14ac:dyDescent="0.3">
      <c r="A96" s="288"/>
      <c r="B96" s="387" t="str">
        <f t="shared" si="187"/>
        <v>MidlandNational Secondary&lt;60Segregated</v>
      </c>
      <c r="C96" s="393" t="s">
        <v>191</v>
      </c>
      <c r="D96" s="394" t="s">
        <v>211</v>
      </c>
      <c r="E96" s="339" t="s">
        <v>287</v>
      </c>
      <c r="F96" s="302" t="s">
        <v>286</v>
      </c>
      <c r="G96" s="395">
        <v>0.96699999999999997</v>
      </c>
      <c r="H96" s="288"/>
      <c r="I96" s="400">
        <f>I8</f>
        <v>1.0045359</v>
      </c>
      <c r="J96" s="398">
        <f t="shared" si="189"/>
        <v>1.3175665644462422</v>
      </c>
      <c r="K96" s="399">
        <f>K71</f>
        <v>0.95599999999999996</v>
      </c>
      <c r="L96" s="395">
        <f t="shared" si="188"/>
        <v>1.2595936356106074</v>
      </c>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row>
    <row r="97" spans="1:58" ht="14.4" hidden="1" x14ac:dyDescent="0.3">
      <c r="A97" s="288"/>
      <c r="B97" s="387" t="str">
        <f t="shared" si="187"/>
        <v>MidlandNational Secondary&gt;60Non.-Segregated</v>
      </c>
      <c r="C97" s="393" t="s">
        <v>191</v>
      </c>
      <c r="D97" s="394" t="s">
        <v>211</v>
      </c>
      <c r="E97" s="339" t="s">
        <v>285</v>
      </c>
      <c r="F97" s="302" t="s">
        <v>288</v>
      </c>
      <c r="G97" s="395">
        <v>0.95499999999999996</v>
      </c>
      <c r="H97" s="288"/>
      <c r="I97" s="400">
        <f>I8</f>
        <v>1.0045359</v>
      </c>
      <c r="J97" s="398">
        <f t="shared" si="189"/>
        <v>1.3235429146259139</v>
      </c>
      <c r="K97" s="399">
        <f>K71</f>
        <v>0.95599999999999996</v>
      </c>
      <c r="L97" s="395">
        <f t="shared" si="188"/>
        <v>1.2653070263823736</v>
      </c>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row>
    <row r="98" spans="1:58" ht="14.4" hidden="1" x14ac:dyDescent="0.3">
      <c r="A98" s="288"/>
      <c r="B98" s="387" t="str">
        <f t="shared" ref="B98:B129" si="190">C98&amp;D98&amp;E98&amp;F98</f>
        <v>MidlandNational Secondary&lt;60Non.-Segregated</v>
      </c>
      <c r="C98" s="393" t="s">
        <v>191</v>
      </c>
      <c r="D98" s="394" t="s">
        <v>211</v>
      </c>
      <c r="E98" s="339" t="s">
        <v>287</v>
      </c>
      <c r="F98" s="302" t="s">
        <v>288</v>
      </c>
      <c r="G98" s="395">
        <v>0.95899999999999996</v>
      </c>
      <c r="H98" s="288"/>
      <c r="I98" s="400">
        <f>I8</f>
        <v>1.0045359</v>
      </c>
      <c r="J98" s="398">
        <f t="shared" si="189"/>
        <v>1.3295463729323655</v>
      </c>
      <c r="K98" s="399">
        <f>K71</f>
        <v>0.95599999999999996</v>
      </c>
      <c r="L98" s="395">
        <f t="shared" si="188"/>
        <v>1.2710463325233414</v>
      </c>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row>
    <row r="99" spans="1:58" ht="15" hidden="1" thickBot="1" x14ac:dyDescent="0.35">
      <c r="A99" s="288"/>
      <c r="B99" s="387" t="str">
        <f t="shared" si="190"/>
        <v>MidlandNational Secondary&lt;60Other</v>
      </c>
      <c r="C99" s="393" t="s">
        <v>191</v>
      </c>
      <c r="D99" s="394" t="s">
        <v>211</v>
      </c>
      <c r="E99" s="339" t="s">
        <v>287</v>
      </c>
      <c r="F99" s="302" t="s">
        <v>289</v>
      </c>
      <c r="G99" s="395">
        <v>0.95899999999999996</v>
      </c>
      <c r="H99" s="288"/>
      <c r="I99" s="400">
        <f>I8</f>
        <v>1.0045359</v>
      </c>
      <c r="J99" s="398">
        <f t="shared" si="189"/>
        <v>1.3355770623253496</v>
      </c>
      <c r="K99" s="399">
        <f>K71</f>
        <v>0.95599999999999996</v>
      </c>
      <c r="L99" s="395">
        <f t="shared" si="188"/>
        <v>1.2768116715830342</v>
      </c>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row>
    <row r="100" spans="1:58" ht="15" hidden="1" thickBot="1" x14ac:dyDescent="0.35">
      <c r="A100" s="288"/>
      <c r="B100" s="387" t="str">
        <f t="shared" si="190"/>
        <v>BorderMotorway&gt;60Motorway</v>
      </c>
      <c r="C100" s="388" t="s">
        <v>188</v>
      </c>
      <c r="D100" s="389" t="s">
        <v>28</v>
      </c>
      <c r="E100" s="390" t="s">
        <v>285</v>
      </c>
      <c r="F100" s="391" t="s">
        <v>28</v>
      </c>
      <c r="G100" s="392">
        <v>0.95599999999999996</v>
      </c>
      <c r="H100" s="288"/>
      <c r="I100" s="409">
        <f>I8</f>
        <v>1.0045359</v>
      </c>
      <c r="J100" s="410">
        <f t="shared" si="189"/>
        <v>1.3416351063223511</v>
      </c>
      <c r="K100" s="411">
        <f>K71</f>
        <v>0.95599999999999996</v>
      </c>
      <c r="L100" s="405">
        <f t="shared" si="188"/>
        <v>1.2826031616441675</v>
      </c>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row>
    <row r="101" spans="1:58" ht="15" hidden="1" thickBot="1" x14ac:dyDescent="0.35">
      <c r="A101" s="288"/>
      <c r="B101" s="387" t="str">
        <f t="shared" si="190"/>
        <v>BorderNational Primary&gt;60Segregated</v>
      </c>
      <c r="C101" s="393" t="s">
        <v>188</v>
      </c>
      <c r="D101" s="394" t="s">
        <v>210</v>
      </c>
      <c r="E101" s="339" t="s">
        <v>285</v>
      </c>
      <c r="F101" s="302" t="s">
        <v>286</v>
      </c>
      <c r="G101" s="395">
        <v>0.95599999999999996</v>
      </c>
      <c r="H101" s="288"/>
      <c r="I101" s="412">
        <f>SUM(I71:I100)</f>
        <v>30.295654980000002</v>
      </c>
      <c r="J101" s="413">
        <f>SUM(J71:J100)</f>
        <v>36.273427663602668</v>
      </c>
      <c r="K101" s="414"/>
      <c r="L101" s="338">
        <f>SUM(L71:L100)</f>
        <v>34.677396846404157</v>
      </c>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row>
    <row r="102" spans="1:58" ht="14.4" hidden="1" x14ac:dyDescent="0.3">
      <c r="A102" s="288"/>
      <c r="B102" s="387" t="str">
        <f t="shared" si="190"/>
        <v>BorderNational Primary&lt;60Segregated</v>
      </c>
      <c r="C102" s="393" t="s">
        <v>188</v>
      </c>
      <c r="D102" s="394" t="s">
        <v>210</v>
      </c>
      <c r="E102" s="339" t="s">
        <v>287</v>
      </c>
      <c r="F102" s="302" t="s">
        <v>286</v>
      </c>
      <c r="G102" s="395">
        <v>0.96699999999999997</v>
      </c>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row>
    <row r="103" spans="1:58" ht="14.4" hidden="1" x14ac:dyDescent="0.3">
      <c r="A103" s="288"/>
      <c r="B103" s="387" t="str">
        <f t="shared" si="190"/>
        <v>BorderNational Primary&gt;60Non.-Segregated</v>
      </c>
      <c r="C103" s="393" t="s">
        <v>188</v>
      </c>
      <c r="D103" s="394" t="s">
        <v>210</v>
      </c>
      <c r="E103" s="339" t="s">
        <v>285</v>
      </c>
      <c r="F103" s="302" t="s">
        <v>288</v>
      </c>
      <c r="G103" s="395">
        <v>0.95499999999999996</v>
      </c>
      <c r="H103" s="415" t="s">
        <v>28</v>
      </c>
      <c r="I103" s="416" t="s">
        <v>28</v>
      </c>
      <c r="J103" s="416"/>
      <c r="K103" s="415"/>
      <c r="L103" s="417">
        <v>0.95599999999999996</v>
      </c>
      <c r="M103" s="417"/>
      <c r="N103" s="339"/>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row>
    <row r="104" spans="1:58" ht="14.4" hidden="1" x14ac:dyDescent="0.3">
      <c r="A104" s="288"/>
      <c r="B104" s="387" t="str">
        <f t="shared" si="190"/>
        <v>BorderNational Primary&lt;60Non.-Segregated</v>
      </c>
      <c r="C104" s="393" t="s">
        <v>188</v>
      </c>
      <c r="D104" s="394" t="s">
        <v>210</v>
      </c>
      <c r="E104" s="339" t="s">
        <v>287</v>
      </c>
      <c r="F104" s="302" t="s">
        <v>288</v>
      </c>
      <c r="G104" s="395">
        <v>0.95899999999999996</v>
      </c>
      <c r="H104" s="415" t="s">
        <v>286</v>
      </c>
      <c r="I104" s="416" t="s">
        <v>243</v>
      </c>
      <c r="J104" s="416"/>
      <c r="K104" s="416" t="s">
        <v>242</v>
      </c>
      <c r="L104" s="417">
        <v>0.96699999999999997</v>
      </c>
      <c r="M104" s="417">
        <v>0.95599999999999996</v>
      </c>
      <c r="N104" s="339"/>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row>
    <row r="105" spans="1:58" ht="14.4" hidden="1" x14ac:dyDescent="0.3">
      <c r="A105" s="288"/>
      <c r="B105" s="387" t="str">
        <f t="shared" si="190"/>
        <v>BorderNational Primary&lt;60Other</v>
      </c>
      <c r="C105" s="393" t="s">
        <v>188</v>
      </c>
      <c r="D105" s="394" t="s">
        <v>210</v>
      </c>
      <c r="E105" s="339" t="s">
        <v>287</v>
      </c>
      <c r="F105" s="302" t="s">
        <v>289</v>
      </c>
      <c r="G105" s="395">
        <v>0.95899999999999996</v>
      </c>
      <c r="H105" s="415" t="s">
        <v>288</v>
      </c>
      <c r="I105" s="416" t="s">
        <v>244</v>
      </c>
      <c r="J105" s="416"/>
      <c r="K105" s="416" t="s">
        <v>241</v>
      </c>
      <c r="L105" s="417">
        <v>0.95899999999999996</v>
      </c>
      <c r="M105" s="417">
        <v>0.95499999999999996</v>
      </c>
      <c r="N105" s="339"/>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row>
    <row r="106" spans="1:58" ht="14.4" hidden="1" x14ac:dyDescent="0.3">
      <c r="A106" s="288"/>
      <c r="B106" s="387" t="str">
        <f t="shared" si="190"/>
        <v>BorderNational Secondary&gt;60Segregated</v>
      </c>
      <c r="C106" s="393" t="s">
        <v>188</v>
      </c>
      <c r="D106" s="394" t="s">
        <v>211</v>
      </c>
      <c r="E106" s="339" t="s">
        <v>285</v>
      </c>
      <c r="F106" s="302" t="s">
        <v>286</v>
      </c>
      <c r="G106" s="395">
        <v>0.95599999999999996</v>
      </c>
      <c r="H106" s="415" t="s">
        <v>289</v>
      </c>
      <c r="I106" s="416" t="s">
        <v>245</v>
      </c>
      <c r="J106" s="416"/>
      <c r="K106" s="415"/>
      <c r="L106" s="417">
        <v>0.95899999999999996</v>
      </c>
      <c r="M106" s="417">
        <v>0.95499999999999996</v>
      </c>
      <c r="N106" s="339"/>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row>
    <row r="107" spans="1:58" ht="14.4" hidden="1" x14ac:dyDescent="0.3">
      <c r="A107" s="288"/>
      <c r="B107" s="387" t="str">
        <f t="shared" si="190"/>
        <v>BorderNational Secondary&lt;60Segregated</v>
      </c>
      <c r="C107" s="393" t="s">
        <v>188</v>
      </c>
      <c r="D107" s="394" t="s">
        <v>211</v>
      </c>
      <c r="E107" s="339" t="s">
        <v>287</v>
      </c>
      <c r="F107" s="302" t="s">
        <v>286</v>
      </c>
      <c r="G107" s="395">
        <v>0.96699999999999997</v>
      </c>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row>
    <row r="108" spans="1:58" ht="14.4" hidden="1" x14ac:dyDescent="0.3">
      <c r="A108" s="288"/>
      <c r="B108" s="387" t="str">
        <f t="shared" si="190"/>
        <v>BorderNational Secondary&gt;60Non.-Segregated</v>
      </c>
      <c r="C108" s="393" t="s">
        <v>188</v>
      </c>
      <c r="D108" s="394" t="s">
        <v>211</v>
      </c>
      <c r="E108" s="339" t="s">
        <v>285</v>
      </c>
      <c r="F108" s="302" t="s">
        <v>288</v>
      </c>
      <c r="G108" s="395">
        <v>0.95499999999999996</v>
      </c>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row>
    <row r="109" spans="1:58" ht="14.4" hidden="1" x14ac:dyDescent="0.3">
      <c r="A109" s="288"/>
      <c r="B109" s="387" t="str">
        <f t="shared" si="190"/>
        <v>BorderNational Secondary&lt;60Non.-Segregated</v>
      </c>
      <c r="C109" s="393" t="s">
        <v>188</v>
      </c>
      <c r="D109" s="394" t="s">
        <v>211</v>
      </c>
      <c r="E109" s="339" t="s">
        <v>287</v>
      </c>
      <c r="F109" s="302" t="s">
        <v>288</v>
      </c>
      <c r="G109" s="395">
        <v>0.95899999999999996</v>
      </c>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row>
    <row r="110" spans="1:58" ht="15" hidden="1" thickBot="1" x14ac:dyDescent="0.35">
      <c r="A110" s="288"/>
      <c r="B110" s="387" t="str">
        <f t="shared" si="190"/>
        <v>BorderNational Secondary&lt;60Other</v>
      </c>
      <c r="C110" s="401" t="s">
        <v>188</v>
      </c>
      <c r="D110" s="402" t="s">
        <v>211</v>
      </c>
      <c r="E110" s="403" t="s">
        <v>287</v>
      </c>
      <c r="F110" s="404" t="s">
        <v>289</v>
      </c>
      <c r="G110" s="405">
        <v>0.95899999999999996</v>
      </c>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row>
    <row r="111" spans="1:58" ht="14.4" hidden="1" x14ac:dyDescent="0.3">
      <c r="A111" s="288"/>
      <c r="B111" s="387" t="str">
        <f t="shared" si="190"/>
        <v>Mid-WestMotorway&gt;60Motorway</v>
      </c>
      <c r="C111" s="393" t="s">
        <v>190</v>
      </c>
      <c r="D111" s="394" t="s">
        <v>28</v>
      </c>
      <c r="E111" s="339" t="s">
        <v>285</v>
      </c>
      <c r="F111" s="302" t="s">
        <v>28</v>
      </c>
      <c r="G111" s="395">
        <v>0.95599999999999996</v>
      </c>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row>
    <row r="112" spans="1:58" ht="14.4" hidden="1" x14ac:dyDescent="0.3">
      <c r="A112" s="288"/>
      <c r="B112" s="387" t="str">
        <f t="shared" si="190"/>
        <v>Mid-WestNational Primary&gt;60Segregated</v>
      </c>
      <c r="C112" s="393" t="s">
        <v>190</v>
      </c>
      <c r="D112" s="394" t="s">
        <v>210</v>
      </c>
      <c r="E112" s="339" t="s">
        <v>285</v>
      </c>
      <c r="F112" s="302" t="s">
        <v>286</v>
      </c>
      <c r="G112" s="395">
        <v>0.95599999999999996</v>
      </c>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row>
    <row r="113" spans="1:58" ht="14.4" hidden="1" x14ac:dyDescent="0.3">
      <c r="A113" s="288"/>
      <c r="B113" s="387" t="str">
        <f t="shared" si="190"/>
        <v>Mid-WestNational Primary&lt;60Segregated</v>
      </c>
      <c r="C113" s="393" t="s">
        <v>190</v>
      </c>
      <c r="D113" s="394" t="s">
        <v>210</v>
      </c>
      <c r="E113" s="339" t="s">
        <v>287</v>
      </c>
      <c r="F113" s="302" t="s">
        <v>286</v>
      </c>
      <c r="G113" s="395">
        <v>0.96699999999999997</v>
      </c>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row>
    <row r="114" spans="1:58" ht="14.4" hidden="1" x14ac:dyDescent="0.3">
      <c r="A114" s="288"/>
      <c r="B114" s="387" t="str">
        <f t="shared" si="190"/>
        <v>Mid-WestNational Primary&gt;60Non.-Segregated</v>
      </c>
      <c r="C114" s="393" t="s">
        <v>190</v>
      </c>
      <c r="D114" s="394" t="s">
        <v>210</v>
      </c>
      <c r="E114" s="339" t="s">
        <v>285</v>
      </c>
      <c r="F114" s="302" t="s">
        <v>288</v>
      </c>
      <c r="G114" s="395">
        <v>0.95499999999999996</v>
      </c>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row>
    <row r="115" spans="1:58" ht="14.4" hidden="1" x14ac:dyDescent="0.3">
      <c r="A115" s="288"/>
      <c r="B115" s="387" t="str">
        <f t="shared" si="190"/>
        <v>Mid-WestNational Primary&lt;60Non.-Segregated</v>
      </c>
      <c r="C115" s="393" t="s">
        <v>190</v>
      </c>
      <c r="D115" s="394" t="s">
        <v>210</v>
      </c>
      <c r="E115" s="339" t="s">
        <v>287</v>
      </c>
      <c r="F115" s="302" t="s">
        <v>288</v>
      </c>
      <c r="G115" s="395">
        <v>0.95899999999999996</v>
      </c>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row>
    <row r="116" spans="1:58" ht="14.4" hidden="1" x14ac:dyDescent="0.3">
      <c r="A116" s="288"/>
      <c r="B116" s="387" t="str">
        <f t="shared" si="190"/>
        <v>Mid-WestNational Primary&lt;60Other</v>
      </c>
      <c r="C116" s="393" t="s">
        <v>190</v>
      </c>
      <c r="D116" s="394" t="s">
        <v>210</v>
      </c>
      <c r="E116" s="339" t="s">
        <v>287</v>
      </c>
      <c r="F116" s="302" t="s">
        <v>289</v>
      </c>
      <c r="G116" s="395">
        <v>0.95899999999999996</v>
      </c>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row>
    <row r="117" spans="1:58" ht="14.4" hidden="1" x14ac:dyDescent="0.3">
      <c r="A117" s="288"/>
      <c r="B117" s="387" t="str">
        <f t="shared" si="190"/>
        <v>Mid-WestNational Secondary&gt;60Segregated</v>
      </c>
      <c r="C117" s="393" t="s">
        <v>190</v>
      </c>
      <c r="D117" s="394" t="s">
        <v>211</v>
      </c>
      <c r="E117" s="339" t="s">
        <v>285</v>
      </c>
      <c r="F117" s="302" t="s">
        <v>286</v>
      </c>
      <c r="G117" s="395">
        <v>0.95599999999999996</v>
      </c>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row>
    <row r="118" spans="1:58" ht="14.4" hidden="1" x14ac:dyDescent="0.3">
      <c r="A118" s="288"/>
      <c r="B118" s="387" t="str">
        <f t="shared" si="190"/>
        <v>Mid-WestNational Secondary&lt;60Segregated</v>
      </c>
      <c r="C118" s="393" t="s">
        <v>190</v>
      </c>
      <c r="D118" s="394" t="s">
        <v>211</v>
      </c>
      <c r="E118" s="339" t="s">
        <v>287</v>
      </c>
      <c r="F118" s="302" t="s">
        <v>286</v>
      </c>
      <c r="G118" s="395">
        <v>0.96699999999999997</v>
      </c>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row>
    <row r="119" spans="1:58" ht="14.4" hidden="1" x14ac:dyDescent="0.3">
      <c r="A119" s="288"/>
      <c r="B119" s="387" t="str">
        <f t="shared" si="190"/>
        <v>Mid-WestNational Secondary&gt;60Non.-Segregated</v>
      </c>
      <c r="C119" s="393" t="s">
        <v>190</v>
      </c>
      <c r="D119" s="394" t="s">
        <v>211</v>
      </c>
      <c r="E119" s="339" t="s">
        <v>285</v>
      </c>
      <c r="F119" s="302" t="s">
        <v>288</v>
      </c>
      <c r="G119" s="395">
        <v>0.95499999999999996</v>
      </c>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row>
    <row r="120" spans="1:58" ht="14.4" hidden="1" x14ac:dyDescent="0.3">
      <c r="A120" s="288"/>
      <c r="B120" s="387" t="str">
        <f t="shared" si="190"/>
        <v>Mid-WestNational Secondary&lt;60Non.-Segregated</v>
      </c>
      <c r="C120" s="393" t="s">
        <v>190</v>
      </c>
      <c r="D120" s="394" t="s">
        <v>211</v>
      </c>
      <c r="E120" s="339" t="s">
        <v>287</v>
      </c>
      <c r="F120" s="302" t="s">
        <v>288</v>
      </c>
      <c r="G120" s="395">
        <v>0.95899999999999996</v>
      </c>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row>
    <row r="121" spans="1:58" ht="15" hidden="1" thickBot="1" x14ac:dyDescent="0.35">
      <c r="A121" s="288"/>
      <c r="B121" s="387" t="str">
        <f t="shared" si="190"/>
        <v>Mid-WestNational Secondary&lt;60Other</v>
      </c>
      <c r="C121" s="393" t="s">
        <v>190</v>
      </c>
      <c r="D121" s="394" t="s">
        <v>211</v>
      </c>
      <c r="E121" s="339" t="s">
        <v>287</v>
      </c>
      <c r="F121" s="302" t="s">
        <v>289</v>
      </c>
      <c r="G121" s="395">
        <v>0.95899999999999996</v>
      </c>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row>
    <row r="122" spans="1:58" ht="14.4" hidden="1" x14ac:dyDescent="0.3">
      <c r="A122" s="288"/>
      <c r="B122" s="387" t="str">
        <f t="shared" si="190"/>
        <v>WestMotorway&gt;60Motorway</v>
      </c>
      <c r="C122" s="388" t="s">
        <v>189</v>
      </c>
      <c r="D122" s="389" t="s">
        <v>28</v>
      </c>
      <c r="E122" s="390" t="s">
        <v>285</v>
      </c>
      <c r="F122" s="391" t="s">
        <v>28</v>
      </c>
      <c r="G122" s="392">
        <v>0.95599999999999996</v>
      </c>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row>
    <row r="123" spans="1:58" ht="14.4" hidden="1" x14ac:dyDescent="0.3">
      <c r="A123" s="288"/>
      <c r="B123" s="387" t="str">
        <f t="shared" si="190"/>
        <v>WestNational Primary&gt;60Segregated</v>
      </c>
      <c r="C123" s="393" t="s">
        <v>189</v>
      </c>
      <c r="D123" s="394" t="s">
        <v>210</v>
      </c>
      <c r="E123" s="339" t="s">
        <v>285</v>
      </c>
      <c r="F123" s="302" t="s">
        <v>286</v>
      </c>
      <c r="G123" s="395">
        <v>0.95599999999999996</v>
      </c>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row>
    <row r="124" spans="1:58" ht="14.4" hidden="1" x14ac:dyDescent="0.3">
      <c r="A124" s="288"/>
      <c r="B124" s="387" t="str">
        <f t="shared" si="190"/>
        <v>WestNational Primary&lt;60Segregated</v>
      </c>
      <c r="C124" s="393" t="s">
        <v>189</v>
      </c>
      <c r="D124" s="394" t="s">
        <v>210</v>
      </c>
      <c r="E124" s="339" t="s">
        <v>287</v>
      </c>
      <c r="F124" s="302" t="s">
        <v>286</v>
      </c>
      <c r="G124" s="395">
        <v>0.96699999999999997</v>
      </c>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row>
    <row r="125" spans="1:58" ht="14.4" hidden="1" x14ac:dyDescent="0.3">
      <c r="A125" s="288"/>
      <c r="B125" s="387" t="str">
        <f t="shared" si="190"/>
        <v>WestNational Primary&gt;60Non.-Segregated</v>
      </c>
      <c r="C125" s="393" t="s">
        <v>189</v>
      </c>
      <c r="D125" s="394" t="s">
        <v>210</v>
      </c>
      <c r="E125" s="339" t="s">
        <v>285</v>
      </c>
      <c r="F125" s="302" t="s">
        <v>288</v>
      </c>
      <c r="G125" s="395">
        <v>0.95499999999999996</v>
      </c>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row>
    <row r="126" spans="1:58" ht="14.4" hidden="1" x14ac:dyDescent="0.3">
      <c r="A126" s="288"/>
      <c r="B126" s="387" t="str">
        <f t="shared" si="190"/>
        <v>WestNational Primary&lt;60Non.-Segregated</v>
      </c>
      <c r="C126" s="393" t="s">
        <v>189</v>
      </c>
      <c r="D126" s="394" t="s">
        <v>210</v>
      </c>
      <c r="E126" s="339" t="s">
        <v>287</v>
      </c>
      <c r="F126" s="302" t="s">
        <v>288</v>
      </c>
      <c r="G126" s="395">
        <v>0.95899999999999996</v>
      </c>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row>
    <row r="127" spans="1:58" ht="14.4" hidden="1" x14ac:dyDescent="0.3">
      <c r="A127" s="288"/>
      <c r="B127" s="387" t="str">
        <f t="shared" si="190"/>
        <v>WestNational Primary&lt;60Other</v>
      </c>
      <c r="C127" s="393" t="s">
        <v>189</v>
      </c>
      <c r="D127" s="394" t="s">
        <v>210</v>
      </c>
      <c r="E127" s="339" t="s">
        <v>287</v>
      </c>
      <c r="F127" s="302" t="s">
        <v>289</v>
      </c>
      <c r="G127" s="395">
        <v>0.95899999999999996</v>
      </c>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row>
    <row r="128" spans="1:58" ht="14.4" hidden="1" x14ac:dyDescent="0.3">
      <c r="A128" s="288"/>
      <c r="B128" s="387" t="str">
        <f t="shared" si="190"/>
        <v>WestNational Secondary&gt;60Segregated</v>
      </c>
      <c r="C128" s="393" t="s">
        <v>189</v>
      </c>
      <c r="D128" s="394" t="s">
        <v>211</v>
      </c>
      <c r="E128" s="339" t="s">
        <v>285</v>
      </c>
      <c r="F128" s="302" t="s">
        <v>286</v>
      </c>
      <c r="G128" s="395">
        <v>0.95599999999999996</v>
      </c>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row>
    <row r="129" spans="1:58" ht="14.4" hidden="1" x14ac:dyDescent="0.3">
      <c r="A129" s="288"/>
      <c r="B129" s="387" t="str">
        <f t="shared" si="190"/>
        <v>WestNational Secondary&lt;60Segregated</v>
      </c>
      <c r="C129" s="393" t="s">
        <v>189</v>
      </c>
      <c r="D129" s="394" t="s">
        <v>211</v>
      </c>
      <c r="E129" s="339" t="s">
        <v>287</v>
      </c>
      <c r="F129" s="302" t="s">
        <v>286</v>
      </c>
      <c r="G129" s="395">
        <v>0.96699999999999997</v>
      </c>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row>
    <row r="130" spans="1:58" ht="14.4" hidden="1" x14ac:dyDescent="0.3">
      <c r="A130" s="288"/>
      <c r="B130" s="387" t="str">
        <f t="shared" ref="B130:B154" si="191">C130&amp;D130&amp;E130&amp;F130</f>
        <v>WestNational Secondary&gt;60Non.-Segregated</v>
      </c>
      <c r="C130" s="393" t="s">
        <v>189</v>
      </c>
      <c r="D130" s="394" t="s">
        <v>211</v>
      </c>
      <c r="E130" s="339" t="s">
        <v>285</v>
      </c>
      <c r="F130" s="302" t="s">
        <v>288</v>
      </c>
      <c r="G130" s="395">
        <v>0.95499999999999996</v>
      </c>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row>
    <row r="131" spans="1:58" ht="14.4" hidden="1" x14ac:dyDescent="0.3">
      <c r="A131" s="288"/>
      <c r="B131" s="387" t="str">
        <f t="shared" si="191"/>
        <v>WestNational Secondary&lt;60Non.-Segregated</v>
      </c>
      <c r="C131" s="393" t="s">
        <v>189</v>
      </c>
      <c r="D131" s="394" t="s">
        <v>211</v>
      </c>
      <c r="E131" s="339" t="s">
        <v>287</v>
      </c>
      <c r="F131" s="302" t="s">
        <v>288</v>
      </c>
      <c r="G131" s="395">
        <v>0.95899999999999996</v>
      </c>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row>
    <row r="132" spans="1:58" ht="15" hidden="1" thickBot="1" x14ac:dyDescent="0.35">
      <c r="A132" s="288"/>
      <c r="B132" s="387" t="str">
        <f t="shared" si="191"/>
        <v>WestNational Secondary&lt;60Other</v>
      </c>
      <c r="C132" s="401" t="s">
        <v>189</v>
      </c>
      <c r="D132" s="402" t="s">
        <v>211</v>
      </c>
      <c r="E132" s="403" t="s">
        <v>287</v>
      </c>
      <c r="F132" s="404" t="s">
        <v>289</v>
      </c>
      <c r="G132" s="405">
        <v>0.95899999999999996</v>
      </c>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row>
    <row r="133" spans="1:58" ht="14.4" hidden="1" x14ac:dyDescent="0.3">
      <c r="A133" s="288"/>
      <c r="B133" s="387" t="str">
        <f t="shared" si="191"/>
        <v>South-EastMotorway&gt;60Motorway</v>
      </c>
      <c r="C133" s="393" t="s">
        <v>192</v>
      </c>
      <c r="D133" s="394" t="s">
        <v>28</v>
      </c>
      <c r="E133" s="339" t="s">
        <v>285</v>
      </c>
      <c r="F133" s="302" t="s">
        <v>28</v>
      </c>
      <c r="G133" s="395">
        <v>0.95599999999999996</v>
      </c>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row>
    <row r="134" spans="1:58" ht="14.4" hidden="1" x14ac:dyDescent="0.3">
      <c r="A134" s="288"/>
      <c r="B134" s="387" t="str">
        <f t="shared" si="191"/>
        <v>South-EastNational Primary&gt;60Segregated</v>
      </c>
      <c r="C134" s="393" t="s">
        <v>192</v>
      </c>
      <c r="D134" s="394" t="s">
        <v>210</v>
      </c>
      <c r="E134" s="339" t="s">
        <v>285</v>
      </c>
      <c r="F134" s="302" t="s">
        <v>286</v>
      </c>
      <c r="G134" s="395">
        <v>0.95599999999999996</v>
      </c>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row>
    <row r="135" spans="1:58" ht="14.4" hidden="1" x14ac:dyDescent="0.3">
      <c r="A135" s="288"/>
      <c r="B135" s="387" t="str">
        <f t="shared" si="191"/>
        <v>South-EastNational Primary&lt;60Segregated</v>
      </c>
      <c r="C135" s="393" t="s">
        <v>192</v>
      </c>
      <c r="D135" s="394" t="s">
        <v>210</v>
      </c>
      <c r="E135" s="339" t="s">
        <v>287</v>
      </c>
      <c r="F135" s="302" t="s">
        <v>286</v>
      </c>
      <c r="G135" s="395">
        <v>0.96699999999999997</v>
      </c>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row>
    <row r="136" spans="1:58" ht="13.95" hidden="1" customHeight="1" x14ac:dyDescent="0.3">
      <c r="A136" s="288"/>
      <c r="B136" s="387" t="str">
        <f t="shared" si="191"/>
        <v>South-EastNational Primary&gt;60Non.-Segregated</v>
      </c>
      <c r="C136" s="393" t="s">
        <v>192</v>
      </c>
      <c r="D136" s="394" t="s">
        <v>210</v>
      </c>
      <c r="E136" s="339" t="s">
        <v>285</v>
      </c>
      <c r="F136" s="302" t="s">
        <v>288</v>
      </c>
      <c r="G136" s="395">
        <v>0.95499999999999996</v>
      </c>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row>
    <row r="137" spans="1:58" ht="14.4" hidden="1" x14ac:dyDescent="0.3">
      <c r="A137" s="288"/>
      <c r="B137" s="387" t="str">
        <f t="shared" si="191"/>
        <v>South-EastNational Primary&lt;60Non.-Segregated</v>
      </c>
      <c r="C137" s="393" t="s">
        <v>192</v>
      </c>
      <c r="D137" s="394" t="s">
        <v>210</v>
      </c>
      <c r="E137" s="339" t="s">
        <v>287</v>
      </c>
      <c r="F137" s="302" t="s">
        <v>288</v>
      </c>
      <c r="G137" s="395">
        <v>0.95899999999999996</v>
      </c>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row>
    <row r="138" spans="1:58" ht="14.4" hidden="1" x14ac:dyDescent="0.3">
      <c r="A138" s="288"/>
      <c r="B138" s="387" t="str">
        <f t="shared" si="191"/>
        <v>South-EastNational Primary&lt;60Other</v>
      </c>
      <c r="C138" s="393" t="s">
        <v>192</v>
      </c>
      <c r="D138" s="394" t="s">
        <v>210</v>
      </c>
      <c r="E138" s="339" t="s">
        <v>287</v>
      </c>
      <c r="F138" s="302" t="s">
        <v>289</v>
      </c>
      <c r="G138" s="395">
        <v>0.95899999999999996</v>
      </c>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row>
    <row r="139" spans="1:58" ht="14.4" hidden="1" x14ac:dyDescent="0.3">
      <c r="A139" s="288"/>
      <c r="B139" s="387" t="str">
        <f t="shared" si="191"/>
        <v>South-EastNational Secondary&gt;60Segregated</v>
      </c>
      <c r="C139" s="393" t="s">
        <v>192</v>
      </c>
      <c r="D139" s="394" t="s">
        <v>211</v>
      </c>
      <c r="E139" s="339" t="s">
        <v>285</v>
      </c>
      <c r="F139" s="302" t="s">
        <v>286</v>
      </c>
      <c r="G139" s="395">
        <v>0.95599999999999996</v>
      </c>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row>
    <row r="140" spans="1:58" ht="14.4" hidden="1" x14ac:dyDescent="0.3">
      <c r="A140" s="288"/>
      <c r="B140" s="387" t="str">
        <f t="shared" si="191"/>
        <v>South-EastNational Secondary&lt;60Segregated</v>
      </c>
      <c r="C140" s="393" t="s">
        <v>192</v>
      </c>
      <c r="D140" s="394" t="s">
        <v>211</v>
      </c>
      <c r="E140" s="339" t="s">
        <v>287</v>
      </c>
      <c r="F140" s="302" t="s">
        <v>286</v>
      </c>
      <c r="G140" s="395">
        <v>0.96699999999999997</v>
      </c>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row>
    <row r="141" spans="1:58" ht="14.4" hidden="1" x14ac:dyDescent="0.3">
      <c r="A141" s="288"/>
      <c r="B141" s="387" t="str">
        <f t="shared" si="191"/>
        <v>South-EastNational Secondary&gt;60Non.-Segregated</v>
      </c>
      <c r="C141" s="393" t="s">
        <v>192</v>
      </c>
      <c r="D141" s="394" t="s">
        <v>211</v>
      </c>
      <c r="E141" s="339" t="s">
        <v>285</v>
      </c>
      <c r="F141" s="302" t="s">
        <v>288</v>
      </c>
      <c r="G141" s="395">
        <v>0.95499999999999996</v>
      </c>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row>
    <row r="142" spans="1:58" ht="14.4" hidden="1" x14ac:dyDescent="0.3">
      <c r="A142" s="288"/>
      <c r="B142" s="387" t="str">
        <f t="shared" si="191"/>
        <v>South-EastNational Secondary&lt;60Non.-Segregated</v>
      </c>
      <c r="C142" s="393" t="s">
        <v>192</v>
      </c>
      <c r="D142" s="394" t="s">
        <v>211</v>
      </c>
      <c r="E142" s="339" t="s">
        <v>287</v>
      </c>
      <c r="F142" s="302" t="s">
        <v>288</v>
      </c>
      <c r="G142" s="395">
        <v>0.95899999999999996</v>
      </c>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row>
    <row r="143" spans="1:58" ht="15" hidden="1" thickBot="1" x14ac:dyDescent="0.35">
      <c r="A143" s="288"/>
      <c r="B143" s="387" t="str">
        <f t="shared" si="191"/>
        <v>South-EastNational Secondary&lt;60Other</v>
      </c>
      <c r="C143" s="393" t="s">
        <v>192</v>
      </c>
      <c r="D143" s="394" t="s">
        <v>211</v>
      </c>
      <c r="E143" s="339" t="s">
        <v>287</v>
      </c>
      <c r="F143" s="302" t="s">
        <v>289</v>
      </c>
      <c r="G143" s="395">
        <v>0.95899999999999996</v>
      </c>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row>
    <row r="144" spans="1:58" ht="14.4" hidden="1" x14ac:dyDescent="0.3">
      <c r="A144" s="288"/>
      <c r="B144" s="387" t="str">
        <f t="shared" si="191"/>
        <v>South-WestMotorway&gt;60Motorway</v>
      </c>
      <c r="C144" s="388" t="s">
        <v>193</v>
      </c>
      <c r="D144" s="389" t="s">
        <v>28</v>
      </c>
      <c r="E144" s="390" t="s">
        <v>285</v>
      </c>
      <c r="F144" s="391" t="s">
        <v>28</v>
      </c>
      <c r="G144" s="392">
        <v>0.95599999999999996</v>
      </c>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288"/>
      <c r="AL144" s="288"/>
      <c r="AM144" s="288"/>
      <c r="AN144" s="288"/>
      <c r="AO144" s="288"/>
      <c r="AP144" s="288"/>
      <c r="AQ144" s="288"/>
      <c r="AR144" s="288"/>
      <c r="AS144" s="288"/>
      <c r="AT144" s="288"/>
      <c r="AU144" s="288"/>
      <c r="AV144" s="288"/>
      <c r="AW144" s="288"/>
      <c r="AX144" s="288"/>
      <c r="AY144" s="288"/>
      <c r="AZ144" s="288"/>
      <c r="BA144" s="288"/>
      <c r="BB144" s="288"/>
      <c r="BC144" s="288"/>
      <c r="BD144" s="288"/>
      <c r="BE144" s="288"/>
      <c r="BF144" s="288"/>
    </row>
    <row r="145" spans="1:58" ht="14.4" hidden="1" x14ac:dyDescent="0.3">
      <c r="A145" s="288"/>
      <c r="B145" s="387" t="str">
        <f t="shared" si="191"/>
        <v>South-WestNational Primary&gt;60Segregated</v>
      </c>
      <c r="C145" s="393" t="s">
        <v>193</v>
      </c>
      <c r="D145" s="394" t="s">
        <v>210</v>
      </c>
      <c r="E145" s="339" t="s">
        <v>285</v>
      </c>
      <c r="F145" s="302" t="s">
        <v>286</v>
      </c>
      <c r="G145" s="395">
        <v>0.95599999999999996</v>
      </c>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row>
    <row r="146" spans="1:58" ht="14.4" hidden="1" x14ac:dyDescent="0.3">
      <c r="A146" s="288"/>
      <c r="B146" s="387" t="str">
        <f t="shared" si="191"/>
        <v>South-WestNational Primary&lt;60Segregated</v>
      </c>
      <c r="C146" s="393" t="s">
        <v>193</v>
      </c>
      <c r="D146" s="394" t="s">
        <v>210</v>
      </c>
      <c r="E146" s="339" t="s">
        <v>287</v>
      </c>
      <c r="F146" s="302" t="s">
        <v>286</v>
      </c>
      <c r="G146" s="395">
        <v>0.96699999999999997</v>
      </c>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288"/>
      <c r="AL146" s="288"/>
      <c r="AM146" s="288"/>
      <c r="AN146" s="288"/>
      <c r="AO146" s="288"/>
      <c r="AP146" s="288"/>
      <c r="AQ146" s="288"/>
      <c r="AR146" s="288"/>
      <c r="AS146" s="288"/>
      <c r="AT146" s="288"/>
      <c r="AU146" s="288"/>
      <c r="AV146" s="288"/>
      <c r="AW146" s="288"/>
      <c r="AX146" s="288"/>
      <c r="AY146" s="288"/>
      <c r="AZ146" s="288"/>
      <c r="BA146" s="288"/>
      <c r="BB146" s="288"/>
      <c r="BC146" s="288"/>
      <c r="BD146" s="288"/>
      <c r="BE146" s="288"/>
      <c r="BF146" s="288"/>
    </row>
    <row r="147" spans="1:58" ht="14.4" hidden="1" x14ac:dyDescent="0.3">
      <c r="A147" s="288"/>
      <c r="B147" s="387" t="str">
        <f t="shared" si="191"/>
        <v>South-WestNational Primary&gt;60Non.-Segregated</v>
      </c>
      <c r="C147" s="393" t="s">
        <v>193</v>
      </c>
      <c r="D147" s="394" t="s">
        <v>210</v>
      </c>
      <c r="E147" s="339" t="s">
        <v>285</v>
      </c>
      <c r="F147" s="302" t="s">
        <v>288</v>
      </c>
      <c r="G147" s="395">
        <v>0.95499999999999996</v>
      </c>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288"/>
      <c r="AL147" s="288"/>
      <c r="AM147" s="288"/>
      <c r="AN147" s="288"/>
      <c r="AO147" s="288"/>
      <c r="AP147" s="288"/>
      <c r="AQ147" s="288"/>
      <c r="AR147" s="288"/>
      <c r="AS147" s="288"/>
      <c r="AT147" s="288"/>
      <c r="AU147" s="288"/>
      <c r="AV147" s="288"/>
      <c r="AW147" s="288"/>
      <c r="AX147" s="288"/>
      <c r="AY147" s="288"/>
      <c r="AZ147" s="288"/>
      <c r="BA147" s="288"/>
      <c r="BB147" s="288"/>
      <c r="BC147" s="288"/>
      <c r="BD147" s="288"/>
      <c r="BE147" s="288"/>
      <c r="BF147" s="288"/>
    </row>
    <row r="148" spans="1:58" ht="14.4" hidden="1" x14ac:dyDescent="0.3">
      <c r="A148" s="288"/>
      <c r="B148" s="387" t="str">
        <f t="shared" si="191"/>
        <v>South-WestNational Primary&lt;60Non.-Segregated</v>
      </c>
      <c r="C148" s="393" t="s">
        <v>193</v>
      </c>
      <c r="D148" s="394" t="s">
        <v>210</v>
      </c>
      <c r="E148" s="339" t="s">
        <v>287</v>
      </c>
      <c r="F148" s="302" t="s">
        <v>288</v>
      </c>
      <c r="G148" s="395">
        <v>0.95899999999999996</v>
      </c>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row>
    <row r="149" spans="1:58" ht="14.4" hidden="1" x14ac:dyDescent="0.3">
      <c r="A149" s="288"/>
      <c r="B149" s="387" t="str">
        <f t="shared" si="191"/>
        <v>South-WestNational Primary&lt;60Other</v>
      </c>
      <c r="C149" s="393" t="s">
        <v>193</v>
      </c>
      <c r="D149" s="394" t="s">
        <v>210</v>
      </c>
      <c r="E149" s="339" t="s">
        <v>287</v>
      </c>
      <c r="F149" s="302" t="s">
        <v>289</v>
      </c>
      <c r="G149" s="395">
        <v>0.95899999999999996</v>
      </c>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288"/>
      <c r="AL149" s="288"/>
      <c r="AM149" s="288"/>
      <c r="AN149" s="288"/>
      <c r="AO149" s="288"/>
      <c r="AP149" s="288"/>
      <c r="AQ149" s="288"/>
      <c r="AR149" s="288"/>
      <c r="AS149" s="288"/>
      <c r="AT149" s="288"/>
      <c r="AU149" s="288"/>
      <c r="AV149" s="288"/>
      <c r="AW149" s="288"/>
      <c r="AX149" s="288"/>
      <c r="AY149" s="288"/>
      <c r="AZ149" s="288"/>
      <c r="BA149" s="288"/>
      <c r="BB149" s="288"/>
      <c r="BC149" s="288"/>
      <c r="BD149" s="288"/>
      <c r="BE149" s="288"/>
      <c r="BF149" s="288"/>
    </row>
    <row r="150" spans="1:58" ht="14.4" hidden="1" x14ac:dyDescent="0.3">
      <c r="A150" s="288"/>
      <c r="B150" s="387" t="str">
        <f t="shared" si="191"/>
        <v>South-WestNational Secondary&gt;60Segregated</v>
      </c>
      <c r="C150" s="393" t="s">
        <v>193</v>
      </c>
      <c r="D150" s="394" t="s">
        <v>211</v>
      </c>
      <c r="E150" s="339" t="s">
        <v>285</v>
      </c>
      <c r="F150" s="302" t="s">
        <v>286</v>
      </c>
      <c r="G150" s="395">
        <v>0.95599999999999996</v>
      </c>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288"/>
      <c r="AL150" s="288"/>
      <c r="AM150" s="288"/>
      <c r="AN150" s="288"/>
      <c r="AO150" s="288"/>
      <c r="AP150" s="288"/>
      <c r="AQ150" s="288"/>
      <c r="AR150" s="288"/>
      <c r="AS150" s="288"/>
      <c r="AT150" s="288"/>
      <c r="AU150" s="288"/>
      <c r="AV150" s="288"/>
      <c r="AW150" s="288"/>
      <c r="AX150" s="288"/>
      <c r="AY150" s="288"/>
      <c r="AZ150" s="288"/>
      <c r="BA150" s="288"/>
      <c r="BB150" s="288"/>
      <c r="BC150" s="288"/>
      <c r="BD150" s="288"/>
      <c r="BE150" s="288"/>
      <c r="BF150" s="288"/>
    </row>
    <row r="151" spans="1:58" ht="14.4" hidden="1" x14ac:dyDescent="0.3">
      <c r="A151" s="288"/>
      <c r="B151" s="387" t="str">
        <f t="shared" si="191"/>
        <v>South-WestNational Secondary&lt;60Segregated</v>
      </c>
      <c r="C151" s="393" t="s">
        <v>193</v>
      </c>
      <c r="D151" s="394" t="s">
        <v>211</v>
      </c>
      <c r="E151" s="339" t="s">
        <v>287</v>
      </c>
      <c r="F151" s="302" t="s">
        <v>286</v>
      </c>
      <c r="G151" s="395">
        <v>0.96699999999999997</v>
      </c>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row>
    <row r="152" spans="1:58" ht="14.4" hidden="1" x14ac:dyDescent="0.3">
      <c r="A152" s="288"/>
      <c r="B152" s="387" t="str">
        <f t="shared" si="191"/>
        <v>South-WestNational Secondary&gt;60Non.-Segregated</v>
      </c>
      <c r="C152" s="393" t="s">
        <v>193</v>
      </c>
      <c r="D152" s="394" t="s">
        <v>211</v>
      </c>
      <c r="E152" s="339" t="s">
        <v>285</v>
      </c>
      <c r="F152" s="302" t="s">
        <v>288</v>
      </c>
      <c r="G152" s="395">
        <v>0.95499999999999996</v>
      </c>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row>
    <row r="153" spans="1:58" ht="14.4" hidden="1" x14ac:dyDescent="0.3">
      <c r="A153" s="288"/>
      <c r="B153" s="387" t="str">
        <f t="shared" si="191"/>
        <v>South-WestNational Secondary&lt;60Non.-Segregated</v>
      </c>
      <c r="C153" s="393" t="s">
        <v>193</v>
      </c>
      <c r="D153" s="394" t="s">
        <v>211</v>
      </c>
      <c r="E153" s="339" t="s">
        <v>287</v>
      </c>
      <c r="F153" s="302" t="s">
        <v>288</v>
      </c>
      <c r="G153" s="395">
        <v>0.95899999999999996</v>
      </c>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row>
    <row r="154" spans="1:58" ht="15" hidden="1" thickBot="1" x14ac:dyDescent="0.35">
      <c r="A154" s="288"/>
      <c r="B154" s="387" t="str">
        <f t="shared" si="191"/>
        <v>South-WestNational Secondary&lt;60Other</v>
      </c>
      <c r="C154" s="401" t="s">
        <v>193</v>
      </c>
      <c r="D154" s="402" t="s">
        <v>211</v>
      </c>
      <c r="E154" s="403" t="s">
        <v>287</v>
      </c>
      <c r="F154" s="404" t="s">
        <v>289</v>
      </c>
      <c r="G154" s="405">
        <v>0.95899999999999996</v>
      </c>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row>
    <row r="155" spans="1:58" x14ac:dyDescent="0.3">
      <c r="AE155" s="477"/>
      <c r="AF155" s="477"/>
      <c r="AG155" s="477"/>
      <c r="AH155" s="477"/>
      <c r="AI155" s="477"/>
      <c r="AJ155" s="477"/>
      <c r="AK155" s="477"/>
      <c r="AL155" s="477"/>
      <c r="AM155" s="477"/>
      <c r="AN155" s="477"/>
      <c r="AO155" s="477"/>
      <c r="AP155" s="477"/>
      <c r="AQ155" s="477"/>
    </row>
  </sheetData>
  <mergeCells count="134">
    <mergeCell ref="CY7:CY8"/>
    <mergeCell ref="BU7:BU8"/>
    <mergeCell ref="BV7:BV8"/>
    <mergeCell ref="BW7:BW8"/>
    <mergeCell ref="BX7:BX8"/>
    <mergeCell ref="CM7:CM8"/>
    <mergeCell ref="CN7:CN8"/>
    <mergeCell ref="CO7:CO8"/>
    <mergeCell ref="CP7:CP8"/>
    <mergeCell ref="CQ7:CQ8"/>
    <mergeCell ref="CH7:CH8"/>
    <mergeCell ref="CI7:CI8"/>
    <mergeCell ref="CJ7:CJ8"/>
    <mergeCell ref="CC7:CC8"/>
    <mergeCell ref="CD7:CD8"/>
    <mergeCell ref="CE7:CE8"/>
    <mergeCell ref="CF7:CF8"/>
    <mergeCell ref="BS7:BS8"/>
    <mergeCell ref="BT7:BT8"/>
    <mergeCell ref="CR7:CR8"/>
    <mergeCell ref="CS7:CS8"/>
    <mergeCell ref="CT7:CT8"/>
    <mergeCell ref="CU7:CU8"/>
    <mergeCell ref="CV7:CV8"/>
    <mergeCell ref="CW7:CW8"/>
    <mergeCell ref="CX7:CX8"/>
    <mergeCell ref="CG7:CG8"/>
    <mergeCell ref="BY7:BY8"/>
    <mergeCell ref="BZ7:BZ8"/>
    <mergeCell ref="CA7:CA8"/>
    <mergeCell ref="CB7:CB8"/>
    <mergeCell ref="C35:C36"/>
    <mergeCell ref="D35:D36"/>
    <mergeCell ref="E35:E36"/>
    <mergeCell ref="F35:F36"/>
    <mergeCell ref="G35:G36"/>
    <mergeCell ref="AF7:AF8"/>
    <mergeCell ref="Y7:Y8"/>
    <mergeCell ref="Z7:Z8"/>
    <mergeCell ref="AA7:AA8"/>
    <mergeCell ref="AB7:AB8"/>
    <mergeCell ref="AC7:AC8"/>
    <mergeCell ref="AD7:AD8"/>
    <mergeCell ref="R7:R8"/>
    <mergeCell ref="S7:S8"/>
    <mergeCell ref="I35:K36"/>
    <mergeCell ref="L35:M36"/>
    <mergeCell ref="BL7:BL8"/>
    <mergeCell ref="BM7:BM8"/>
    <mergeCell ref="BN7:BN8"/>
    <mergeCell ref="BO7:BO8"/>
    <mergeCell ref="BP7:BP8"/>
    <mergeCell ref="BQ7:BQ8"/>
    <mergeCell ref="BR7:BR8"/>
    <mergeCell ref="C5:M5"/>
    <mergeCell ref="C6:C7"/>
    <mergeCell ref="D6:D7"/>
    <mergeCell ref="BD7:BD8"/>
    <mergeCell ref="AY7:AY8"/>
    <mergeCell ref="AZ7:AZ8"/>
    <mergeCell ref="BA7:BA8"/>
    <mergeCell ref="BB7:BB8"/>
    <mergeCell ref="BC7:BC8"/>
    <mergeCell ref="AT7:AT8"/>
    <mergeCell ref="AU7:AU8"/>
    <mergeCell ref="AV7:AV8"/>
    <mergeCell ref="AW7:AW8"/>
    <mergeCell ref="AX7:AX8"/>
    <mergeCell ref="P5:BD5"/>
    <mergeCell ref="P6:P8"/>
    <mergeCell ref="Q6:Q8"/>
    <mergeCell ref="AP7:AP8"/>
    <mergeCell ref="AQ7:AQ8"/>
    <mergeCell ref="AR7:AR8"/>
    <mergeCell ref="AS7:AS8"/>
    <mergeCell ref="AE7:AE8"/>
    <mergeCell ref="E6:G6"/>
    <mergeCell ref="H6:J6"/>
    <mergeCell ref="K6:M6"/>
    <mergeCell ref="T7:T8"/>
    <mergeCell ref="U7:U8"/>
    <mergeCell ref="V7:V8"/>
    <mergeCell ref="W7:W8"/>
    <mergeCell ref="X7:X8"/>
    <mergeCell ref="P51:Q51"/>
    <mergeCell ref="I42:K42"/>
    <mergeCell ref="I43:K43"/>
    <mergeCell ref="L37:M37"/>
    <mergeCell ref="I37:K37"/>
    <mergeCell ref="I38:K38"/>
    <mergeCell ref="I39:K39"/>
    <mergeCell ref="I40:K40"/>
    <mergeCell ref="I41:K41"/>
    <mergeCell ref="I67:I70"/>
    <mergeCell ref="J67:J70"/>
    <mergeCell ref="K67:K70"/>
    <mergeCell ref="L67:L70"/>
    <mergeCell ref="AA76:AB76"/>
    <mergeCell ref="AA72:AB72"/>
    <mergeCell ref="AA68:AB69"/>
    <mergeCell ref="AN68:AO69"/>
    <mergeCell ref="BA68:BB69"/>
    <mergeCell ref="AA70:AB70"/>
    <mergeCell ref="AN70:AO70"/>
    <mergeCell ref="BA70:BB70"/>
    <mergeCell ref="AN72:AO72"/>
    <mergeCell ref="BA72:BB72"/>
    <mergeCell ref="AA73:AB73"/>
    <mergeCell ref="AN73:AO73"/>
    <mergeCell ref="BA73:BB73"/>
    <mergeCell ref="BH5:BH6"/>
    <mergeCell ref="BI5:BI6"/>
    <mergeCell ref="CK7:CK8"/>
    <mergeCell ref="BH53:BK53"/>
    <mergeCell ref="AN76:AO76"/>
    <mergeCell ref="BA76:BB76"/>
    <mergeCell ref="AA74:AB74"/>
    <mergeCell ref="AN74:AO74"/>
    <mergeCell ref="BA74:BB74"/>
    <mergeCell ref="AA75:AB75"/>
    <mergeCell ref="AN75:AO75"/>
    <mergeCell ref="BA75:BB75"/>
    <mergeCell ref="AH7:AH8"/>
    <mergeCell ref="AI7:AI8"/>
    <mergeCell ref="AG7:AG8"/>
    <mergeCell ref="AR6:BD6"/>
    <mergeCell ref="R6:AD6"/>
    <mergeCell ref="AE6:AQ6"/>
    <mergeCell ref="AJ7:AJ8"/>
    <mergeCell ref="AK7:AK8"/>
    <mergeCell ref="AL7:AL8"/>
    <mergeCell ref="AM7:AM8"/>
    <mergeCell ref="AN7:AN8"/>
    <mergeCell ref="AO7:AO8"/>
  </mergeCells>
  <dataValidations count="4">
    <dataValidation type="list" allowBlank="1" showInputMessage="1" showErrorMessage="1" sqref="F37">
      <formula1>"Motorway, Segregated, Non-Segregated, Other"</formula1>
    </dataValidation>
    <dataValidation type="list" allowBlank="1" showInputMessage="1" showErrorMessage="1" sqref="E37">
      <formula1>"&lt;60, &gt;60"</formula1>
    </dataValidation>
    <dataValidation type="list" allowBlank="1" showInputMessage="1" showErrorMessage="1" sqref="C8">
      <formula1>"Dublin, Mid-East, Midland, Border, Mid-West, West, South-East, South-West"</formula1>
    </dataValidation>
    <dataValidation type="list" allowBlank="1" showInputMessage="1" showErrorMessage="1" sqref="D8">
      <formula1>"Motorway, National Primary, National Secondary"</formula1>
    </dataValidation>
  </dataValidations>
  <pageMargins left="0.25" right="0.25" top="0.75" bottom="0.75" header="0.3" footer="0.3"/>
  <pageSetup paperSize="9" scale="98" fitToWidth="4" orientation="landscape" r:id="rId1"/>
  <headerFooter>
    <oddHeader>&amp;LTII Publications
Design of Road Lighting for the National Road Network&amp;RDN-LHT-03038
July 2018</oddHeader>
    <oddFooter>&amp;LLighting Evaluation Tool &amp; Justification for Lighting the Mainline
Appendix B1&amp;R&amp;A
Page &amp;P of &amp;N</oddFooter>
  </headerFooter>
  <rowBreaks count="2" manualBreakCount="2">
    <brk id="33" max="12" man="1"/>
    <brk id="66" max="103" man="1"/>
  </rowBreaks>
  <ignoredErrors>
    <ignoredError sqref="R26:T26 U26:AD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
  <sheetViews>
    <sheetView view="pageLayout" zoomScale="80" zoomScaleNormal="100" zoomScalePageLayoutView="80" workbookViewId="0">
      <selection activeCell="A7" sqref="A7"/>
    </sheetView>
  </sheetViews>
  <sheetFormatPr defaultRowHeight="15" customHeight="1" x14ac:dyDescent="0.3"/>
  <cols>
    <col min="1" max="1" width="2.6640625" style="2" customWidth="1"/>
    <col min="2" max="2" width="5.33203125" style="2" customWidth="1"/>
    <col min="3" max="3" width="7" style="2" customWidth="1"/>
    <col min="4" max="4" width="5.33203125" style="2" customWidth="1"/>
    <col min="5" max="5" width="6.6640625" style="2" bestFit="1" customWidth="1"/>
    <col min="6" max="24" width="5.33203125" style="2" customWidth="1"/>
    <col min="25" max="25" width="11.6640625" style="2" customWidth="1"/>
    <col min="26" max="26" width="2.5546875" style="2" customWidth="1"/>
    <col min="27" max="274" width="7.6640625" style="2" customWidth="1"/>
    <col min="275" max="275" width="14.33203125" style="2" customWidth="1"/>
    <col min="276" max="276" width="4" style="2" customWidth="1"/>
    <col min="277" max="277" width="14.33203125" style="2" customWidth="1"/>
    <col min="278" max="278" width="4" style="2" customWidth="1"/>
    <col min="279" max="530" width="7.6640625" style="2" customWidth="1"/>
    <col min="531" max="531" width="14.33203125" style="2" customWidth="1"/>
    <col min="532" max="532" width="4" style="2" customWidth="1"/>
    <col min="533" max="533" width="14.33203125" style="2" customWidth="1"/>
    <col min="534" max="534" width="4" style="2" customWidth="1"/>
    <col min="535" max="786" width="7.6640625" style="2" customWidth="1"/>
    <col min="787" max="787" width="14.33203125" style="2" customWidth="1"/>
    <col min="788" max="788" width="4" style="2" customWidth="1"/>
    <col min="789" max="789" width="14.33203125" style="2" customWidth="1"/>
    <col min="790" max="790" width="4" style="2" customWidth="1"/>
    <col min="791" max="1042" width="7.6640625" style="2" customWidth="1"/>
    <col min="1043" max="1043" width="14.33203125" style="2" customWidth="1"/>
    <col min="1044" max="1044" width="4" style="2" customWidth="1"/>
    <col min="1045" max="1045" width="14.33203125" style="2" customWidth="1"/>
    <col min="1046" max="1046" width="4" style="2" customWidth="1"/>
    <col min="1047" max="1298" width="7.6640625" style="2" customWidth="1"/>
    <col min="1299" max="1299" width="14.33203125" style="2" customWidth="1"/>
    <col min="1300" max="1300" width="4" style="2" customWidth="1"/>
    <col min="1301" max="1301" width="14.33203125" style="2" customWidth="1"/>
    <col min="1302" max="1302" width="4" style="2" customWidth="1"/>
    <col min="1303" max="1554" width="7.6640625" style="2" customWidth="1"/>
    <col min="1555" max="1555" width="14.33203125" style="2" customWidth="1"/>
    <col min="1556" max="1556" width="4" style="2" customWidth="1"/>
    <col min="1557" max="1557" width="14.33203125" style="2" customWidth="1"/>
    <col min="1558" max="1558" width="4" style="2" customWidth="1"/>
    <col min="1559" max="1810" width="7.6640625" style="2" customWidth="1"/>
    <col min="1811" max="1811" width="14.33203125" style="2" customWidth="1"/>
    <col min="1812" max="1812" width="4" style="2" customWidth="1"/>
    <col min="1813" max="1813" width="14.33203125" style="2" customWidth="1"/>
    <col min="1814" max="1814" width="4" style="2" customWidth="1"/>
    <col min="1815" max="2066" width="7.6640625" style="2" customWidth="1"/>
    <col min="2067" max="2067" width="14.33203125" style="2" customWidth="1"/>
    <col min="2068" max="2068" width="4" style="2" customWidth="1"/>
    <col min="2069" max="2069" width="14.33203125" style="2" customWidth="1"/>
    <col min="2070" max="2070" width="4" style="2" customWidth="1"/>
    <col min="2071" max="2322" width="7.6640625" style="2" customWidth="1"/>
    <col min="2323" max="2323" width="14.33203125" style="2" customWidth="1"/>
    <col min="2324" max="2324" width="4" style="2" customWidth="1"/>
    <col min="2325" max="2325" width="14.33203125" style="2" customWidth="1"/>
    <col min="2326" max="2326" width="4" style="2" customWidth="1"/>
    <col min="2327" max="2578" width="7.6640625" style="2" customWidth="1"/>
    <col min="2579" max="2579" width="14.33203125" style="2" customWidth="1"/>
    <col min="2580" max="2580" width="4" style="2" customWidth="1"/>
    <col min="2581" max="2581" width="14.33203125" style="2" customWidth="1"/>
    <col min="2582" max="2582" width="4" style="2" customWidth="1"/>
    <col min="2583" max="2834" width="7.6640625" style="2" customWidth="1"/>
    <col min="2835" max="2835" width="14.33203125" style="2" customWidth="1"/>
    <col min="2836" max="2836" width="4" style="2" customWidth="1"/>
    <col min="2837" max="2837" width="14.33203125" style="2" customWidth="1"/>
    <col min="2838" max="2838" width="4" style="2" customWidth="1"/>
    <col min="2839" max="3090" width="7.6640625" style="2" customWidth="1"/>
    <col min="3091" max="3091" width="14.33203125" style="2" customWidth="1"/>
    <col min="3092" max="3092" width="4" style="2" customWidth="1"/>
    <col min="3093" max="3093" width="14.33203125" style="2" customWidth="1"/>
    <col min="3094" max="3094" width="4" style="2" customWidth="1"/>
    <col min="3095" max="3346" width="7.6640625" style="2" customWidth="1"/>
    <col min="3347" max="3347" width="14.33203125" style="2" customWidth="1"/>
    <col min="3348" max="3348" width="4" style="2" customWidth="1"/>
    <col min="3349" max="3349" width="14.33203125" style="2" customWidth="1"/>
    <col min="3350" max="3350" width="4" style="2" customWidth="1"/>
    <col min="3351" max="3602" width="7.6640625" style="2" customWidth="1"/>
    <col min="3603" max="3603" width="14.33203125" style="2" customWidth="1"/>
    <col min="3604" max="3604" width="4" style="2" customWidth="1"/>
    <col min="3605" max="3605" width="14.33203125" style="2" customWidth="1"/>
    <col min="3606" max="3606" width="4" style="2" customWidth="1"/>
    <col min="3607" max="3858" width="7.6640625" style="2" customWidth="1"/>
    <col min="3859" max="3859" width="14.33203125" style="2" customWidth="1"/>
    <col min="3860" max="3860" width="4" style="2" customWidth="1"/>
    <col min="3861" max="3861" width="14.33203125" style="2" customWidth="1"/>
    <col min="3862" max="3862" width="4" style="2" customWidth="1"/>
    <col min="3863" max="4114" width="7.6640625" style="2" customWidth="1"/>
    <col min="4115" max="4115" width="14.33203125" style="2" customWidth="1"/>
    <col min="4116" max="4116" width="4" style="2" customWidth="1"/>
    <col min="4117" max="4117" width="14.33203125" style="2" customWidth="1"/>
    <col min="4118" max="4118" width="4" style="2" customWidth="1"/>
    <col min="4119" max="4370" width="7.6640625" style="2" customWidth="1"/>
    <col min="4371" max="4371" width="14.33203125" style="2" customWidth="1"/>
    <col min="4372" max="4372" width="4" style="2" customWidth="1"/>
    <col min="4373" max="4373" width="14.33203125" style="2" customWidth="1"/>
    <col min="4374" max="4374" width="4" style="2" customWidth="1"/>
    <col min="4375" max="4626" width="7.6640625" style="2" customWidth="1"/>
    <col min="4627" max="4627" width="14.33203125" style="2" customWidth="1"/>
    <col min="4628" max="4628" width="4" style="2" customWidth="1"/>
    <col min="4629" max="4629" width="14.33203125" style="2" customWidth="1"/>
    <col min="4630" max="4630" width="4" style="2" customWidth="1"/>
    <col min="4631" max="4882" width="7.6640625" style="2" customWidth="1"/>
    <col min="4883" max="4883" width="14.33203125" style="2" customWidth="1"/>
    <col min="4884" max="4884" width="4" style="2" customWidth="1"/>
    <col min="4885" max="4885" width="14.33203125" style="2" customWidth="1"/>
    <col min="4886" max="4886" width="4" style="2" customWidth="1"/>
    <col min="4887" max="5138" width="7.6640625" style="2" customWidth="1"/>
    <col min="5139" max="5139" width="14.33203125" style="2" customWidth="1"/>
    <col min="5140" max="5140" width="4" style="2" customWidth="1"/>
    <col min="5141" max="5141" width="14.33203125" style="2" customWidth="1"/>
    <col min="5142" max="5142" width="4" style="2" customWidth="1"/>
    <col min="5143" max="5394" width="7.6640625" style="2" customWidth="1"/>
    <col min="5395" max="5395" width="14.33203125" style="2" customWidth="1"/>
    <col min="5396" max="5396" width="4" style="2" customWidth="1"/>
    <col min="5397" max="5397" width="14.33203125" style="2" customWidth="1"/>
    <col min="5398" max="5398" width="4" style="2" customWidth="1"/>
    <col min="5399" max="5650" width="7.6640625" style="2" customWidth="1"/>
    <col min="5651" max="5651" width="14.33203125" style="2" customWidth="1"/>
    <col min="5652" max="5652" width="4" style="2" customWidth="1"/>
    <col min="5653" max="5653" width="14.33203125" style="2" customWidth="1"/>
    <col min="5654" max="5654" width="4" style="2" customWidth="1"/>
    <col min="5655" max="5906" width="7.6640625" style="2" customWidth="1"/>
    <col min="5907" max="5907" width="14.33203125" style="2" customWidth="1"/>
    <col min="5908" max="5908" width="4" style="2" customWidth="1"/>
    <col min="5909" max="5909" width="14.33203125" style="2" customWidth="1"/>
    <col min="5910" max="5910" width="4" style="2" customWidth="1"/>
    <col min="5911" max="6162" width="7.6640625" style="2" customWidth="1"/>
    <col min="6163" max="6163" width="14.33203125" style="2" customWidth="1"/>
    <col min="6164" max="6164" width="4" style="2" customWidth="1"/>
    <col min="6165" max="6165" width="14.33203125" style="2" customWidth="1"/>
    <col min="6166" max="6166" width="4" style="2" customWidth="1"/>
    <col min="6167" max="6418" width="7.6640625" style="2" customWidth="1"/>
    <col min="6419" max="6419" width="14.33203125" style="2" customWidth="1"/>
    <col min="6420" max="6420" width="4" style="2" customWidth="1"/>
    <col min="6421" max="6421" width="14.33203125" style="2" customWidth="1"/>
    <col min="6422" max="6422" width="4" style="2" customWidth="1"/>
    <col min="6423" max="6674" width="7.6640625" style="2" customWidth="1"/>
    <col min="6675" max="6675" width="14.33203125" style="2" customWidth="1"/>
    <col min="6676" max="6676" width="4" style="2" customWidth="1"/>
    <col min="6677" max="6677" width="14.33203125" style="2" customWidth="1"/>
    <col min="6678" max="6678" width="4" style="2" customWidth="1"/>
    <col min="6679" max="6930" width="7.6640625" style="2" customWidth="1"/>
    <col min="6931" max="6931" width="14.33203125" style="2" customWidth="1"/>
    <col min="6932" max="6932" width="4" style="2" customWidth="1"/>
    <col min="6933" max="6933" width="14.33203125" style="2" customWidth="1"/>
    <col min="6934" max="6934" width="4" style="2" customWidth="1"/>
    <col min="6935" max="7186" width="7.6640625" style="2" customWidth="1"/>
    <col min="7187" max="7187" width="14.33203125" style="2" customWidth="1"/>
    <col min="7188" max="7188" width="4" style="2" customWidth="1"/>
    <col min="7189" max="7189" width="14.33203125" style="2" customWidth="1"/>
    <col min="7190" max="7190" width="4" style="2" customWidth="1"/>
    <col min="7191" max="7442" width="7.6640625" style="2" customWidth="1"/>
    <col min="7443" max="7443" width="14.33203125" style="2" customWidth="1"/>
    <col min="7444" max="7444" width="4" style="2" customWidth="1"/>
    <col min="7445" max="7445" width="14.33203125" style="2" customWidth="1"/>
    <col min="7446" max="7446" width="4" style="2" customWidth="1"/>
    <col min="7447" max="7698" width="7.6640625" style="2" customWidth="1"/>
    <col min="7699" max="7699" width="14.33203125" style="2" customWidth="1"/>
    <col min="7700" max="7700" width="4" style="2" customWidth="1"/>
    <col min="7701" max="7701" width="14.33203125" style="2" customWidth="1"/>
    <col min="7702" max="7702" width="4" style="2" customWidth="1"/>
    <col min="7703" max="7954" width="7.6640625" style="2" customWidth="1"/>
    <col min="7955" max="7955" width="14.33203125" style="2" customWidth="1"/>
    <col min="7956" max="7956" width="4" style="2" customWidth="1"/>
    <col min="7957" max="7957" width="14.33203125" style="2" customWidth="1"/>
    <col min="7958" max="7958" width="4" style="2" customWidth="1"/>
    <col min="7959" max="8210" width="7.6640625" style="2" customWidth="1"/>
    <col min="8211" max="8211" width="14.33203125" style="2" customWidth="1"/>
    <col min="8212" max="8212" width="4" style="2" customWidth="1"/>
    <col min="8213" max="8213" width="14.33203125" style="2" customWidth="1"/>
    <col min="8214" max="8214" width="4" style="2" customWidth="1"/>
    <col min="8215" max="8466" width="7.6640625" style="2" customWidth="1"/>
    <col min="8467" max="8467" width="14.33203125" style="2" customWidth="1"/>
    <col min="8468" max="8468" width="4" style="2" customWidth="1"/>
    <col min="8469" max="8469" width="14.33203125" style="2" customWidth="1"/>
    <col min="8470" max="8470" width="4" style="2" customWidth="1"/>
    <col min="8471" max="8722" width="7.6640625" style="2" customWidth="1"/>
    <col min="8723" max="8723" width="14.33203125" style="2" customWidth="1"/>
    <col min="8724" max="8724" width="4" style="2" customWidth="1"/>
    <col min="8725" max="8725" width="14.33203125" style="2" customWidth="1"/>
    <col min="8726" max="8726" width="4" style="2" customWidth="1"/>
    <col min="8727" max="8978" width="7.6640625" style="2" customWidth="1"/>
    <col min="8979" max="8979" width="14.33203125" style="2" customWidth="1"/>
    <col min="8980" max="8980" width="4" style="2" customWidth="1"/>
    <col min="8981" max="8981" width="14.33203125" style="2" customWidth="1"/>
    <col min="8982" max="8982" width="4" style="2" customWidth="1"/>
    <col min="8983" max="9234" width="7.6640625" style="2" customWidth="1"/>
    <col min="9235" max="9235" width="14.33203125" style="2" customWidth="1"/>
    <col min="9236" max="9236" width="4" style="2" customWidth="1"/>
    <col min="9237" max="9237" width="14.33203125" style="2" customWidth="1"/>
    <col min="9238" max="9238" width="4" style="2" customWidth="1"/>
    <col min="9239" max="9490" width="7.6640625" style="2" customWidth="1"/>
    <col min="9491" max="9491" width="14.33203125" style="2" customWidth="1"/>
    <col min="9492" max="9492" width="4" style="2" customWidth="1"/>
    <col min="9493" max="9493" width="14.33203125" style="2" customWidth="1"/>
    <col min="9494" max="9494" width="4" style="2" customWidth="1"/>
    <col min="9495" max="9746" width="7.6640625" style="2" customWidth="1"/>
    <col min="9747" max="9747" width="14.33203125" style="2" customWidth="1"/>
    <col min="9748" max="9748" width="4" style="2" customWidth="1"/>
    <col min="9749" max="9749" width="14.33203125" style="2" customWidth="1"/>
    <col min="9750" max="9750" width="4" style="2" customWidth="1"/>
    <col min="9751" max="10002" width="7.6640625" style="2" customWidth="1"/>
    <col min="10003" max="10003" width="14.33203125" style="2" customWidth="1"/>
    <col min="10004" max="10004" width="4" style="2" customWidth="1"/>
    <col min="10005" max="10005" width="14.33203125" style="2" customWidth="1"/>
    <col min="10006" max="10006" width="4" style="2" customWidth="1"/>
    <col min="10007" max="10258" width="7.6640625" style="2" customWidth="1"/>
    <col min="10259" max="10259" width="14.33203125" style="2" customWidth="1"/>
    <col min="10260" max="10260" width="4" style="2" customWidth="1"/>
    <col min="10261" max="10261" width="14.33203125" style="2" customWidth="1"/>
    <col min="10262" max="10262" width="4" style="2" customWidth="1"/>
    <col min="10263" max="10514" width="7.6640625" style="2" customWidth="1"/>
    <col min="10515" max="10515" width="14.33203125" style="2" customWidth="1"/>
    <col min="10516" max="10516" width="4" style="2" customWidth="1"/>
    <col min="10517" max="10517" width="14.33203125" style="2" customWidth="1"/>
    <col min="10518" max="10518" width="4" style="2" customWidth="1"/>
    <col min="10519" max="10770" width="7.6640625" style="2" customWidth="1"/>
    <col min="10771" max="10771" width="14.33203125" style="2" customWidth="1"/>
    <col min="10772" max="10772" width="4" style="2" customWidth="1"/>
    <col min="10773" max="10773" width="14.33203125" style="2" customWidth="1"/>
    <col min="10774" max="10774" width="4" style="2" customWidth="1"/>
    <col min="10775" max="11026" width="7.6640625" style="2" customWidth="1"/>
    <col min="11027" max="11027" width="14.33203125" style="2" customWidth="1"/>
    <col min="11028" max="11028" width="4" style="2" customWidth="1"/>
    <col min="11029" max="11029" width="14.33203125" style="2" customWidth="1"/>
    <col min="11030" max="11030" width="4" style="2" customWidth="1"/>
    <col min="11031" max="11282" width="7.6640625" style="2" customWidth="1"/>
    <col min="11283" max="11283" width="14.33203125" style="2" customWidth="1"/>
    <col min="11284" max="11284" width="4" style="2" customWidth="1"/>
    <col min="11285" max="11285" width="14.33203125" style="2" customWidth="1"/>
    <col min="11286" max="11286" width="4" style="2" customWidth="1"/>
    <col min="11287" max="11538" width="7.6640625" style="2" customWidth="1"/>
    <col min="11539" max="11539" width="14.33203125" style="2" customWidth="1"/>
    <col min="11540" max="11540" width="4" style="2" customWidth="1"/>
    <col min="11541" max="11541" width="14.33203125" style="2" customWidth="1"/>
    <col min="11542" max="11542" width="4" style="2" customWidth="1"/>
    <col min="11543" max="11794" width="7.6640625" style="2" customWidth="1"/>
    <col min="11795" max="11795" width="14.33203125" style="2" customWidth="1"/>
    <col min="11796" max="11796" width="4" style="2" customWidth="1"/>
    <col min="11797" max="11797" width="14.33203125" style="2" customWidth="1"/>
    <col min="11798" max="11798" width="4" style="2" customWidth="1"/>
    <col min="11799" max="12050" width="7.6640625" style="2" customWidth="1"/>
    <col min="12051" max="12051" width="14.33203125" style="2" customWidth="1"/>
    <col min="12052" max="12052" width="4" style="2" customWidth="1"/>
    <col min="12053" max="12053" width="14.33203125" style="2" customWidth="1"/>
    <col min="12054" max="12054" width="4" style="2" customWidth="1"/>
    <col min="12055" max="12306" width="7.6640625" style="2" customWidth="1"/>
    <col min="12307" max="12307" width="14.33203125" style="2" customWidth="1"/>
    <col min="12308" max="12308" width="4" style="2" customWidth="1"/>
    <col min="12309" max="12309" width="14.33203125" style="2" customWidth="1"/>
    <col min="12310" max="12310" width="4" style="2" customWidth="1"/>
    <col min="12311" max="12562" width="7.6640625" style="2" customWidth="1"/>
    <col min="12563" max="12563" width="14.33203125" style="2" customWidth="1"/>
    <col min="12564" max="12564" width="4" style="2" customWidth="1"/>
    <col min="12565" max="12565" width="14.33203125" style="2" customWidth="1"/>
    <col min="12566" max="12566" width="4" style="2" customWidth="1"/>
    <col min="12567" max="12818" width="7.6640625" style="2" customWidth="1"/>
    <col min="12819" max="12819" width="14.33203125" style="2" customWidth="1"/>
    <col min="12820" max="12820" width="4" style="2" customWidth="1"/>
    <col min="12821" max="12821" width="14.33203125" style="2" customWidth="1"/>
    <col min="12822" max="12822" width="4" style="2" customWidth="1"/>
    <col min="12823" max="13074" width="7.6640625" style="2" customWidth="1"/>
    <col min="13075" max="13075" width="14.33203125" style="2" customWidth="1"/>
    <col min="13076" max="13076" width="4" style="2" customWidth="1"/>
    <col min="13077" max="13077" width="14.33203125" style="2" customWidth="1"/>
    <col min="13078" max="13078" width="4" style="2" customWidth="1"/>
    <col min="13079" max="13330" width="7.6640625" style="2" customWidth="1"/>
    <col min="13331" max="13331" width="14.33203125" style="2" customWidth="1"/>
    <col min="13332" max="13332" width="4" style="2" customWidth="1"/>
    <col min="13333" max="13333" width="14.33203125" style="2" customWidth="1"/>
    <col min="13334" max="13334" width="4" style="2" customWidth="1"/>
    <col min="13335" max="13586" width="7.6640625" style="2" customWidth="1"/>
    <col min="13587" max="13587" width="14.33203125" style="2" customWidth="1"/>
    <col min="13588" max="13588" width="4" style="2" customWidth="1"/>
    <col min="13589" max="13589" width="14.33203125" style="2" customWidth="1"/>
    <col min="13590" max="13590" width="4" style="2" customWidth="1"/>
    <col min="13591" max="13842" width="7.6640625" style="2" customWidth="1"/>
    <col min="13843" max="13843" width="14.33203125" style="2" customWidth="1"/>
    <col min="13844" max="13844" width="4" style="2" customWidth="1"/>
    <col min="13845" max="13845" width="14.33203125" style="2" customWidth="1"/>
    <col min="13846" max="13846" width="4" style="2" customWidth="1"/>
    <col min="13847" max="14098" width="7.6640625" style="2" customWidth="1"/>
    <col min="14099" max="14099" width="14.33203125" style="2" customWidth="1"/>
    <col min="14100" max="14100" width="4" style="2" customWidth="1"/>
    <col min="14101" max="14101" width="14.33203125" style="2" customWidth="1"/>
    <col min="14102" max="14102" width="4" style="2" customWidth="1"/>
    <col min="14103" max="14354" width="7.6640625" style="2" customWidth="1"/>
    <col min="14355" max="14355" width="14.33203125" style="2" customWidth="1"/>
    <col min="14356" max="14356" width="4" style="2" customWidth="1"/>
    <col min="14357" max="14357" width="14.33203125" style="2" customWidth="1"/>
    <col min="14358" max="14358" width="4" style="2" customWidth="1"/>
    <col min="14359" max="14610" width="7.6640625" style="2" customWidth="1"/>
    <col min="14611" max="14611" width="14.33203125" style="2" customWidth="1"/>
    <col min="14612" max="14612" width="4" style="2" customWidth="1"/>
    <col min="14613" max="14613" width="14.33203125" style="2" customWidth="1"/>
    <col min="14614" max="14614" width="4" style="2" customWidth="1"/>
    <col min="14615" max="14866" width="7.6640625" style="2" customWidth="1"/>
    <col min="14867" max="14867" width="14.33203125" style="2" customWidth="1"/>
    <col min="14868" max="14868" width="4" style="2" customWidth="1"/>
    <col min="14869" max="14869" width="14.33203125" style="2" customWidth="1"/>
    <col min="14870" max="14870" width="4" style="2" customWidth="1"/>
    <col min="14871" max="15122" width="7.6640625" style="2" customWidth="1"/>
    <col min="15123" max="15123" width="14.33203125" style="2" customWidth="1"/>
    <col min="15124" max="15124" width="4" style="2" customWidth="1"/>
    <col min="15125" max="15125" width="14.33203125" style="2" customWidth="1"/>
    <col min="15126" max="15126" width="4" style="2" customWidth="1"/>
    <col min="15127" max="15378" width="7.6640625" style="2" customWidth="1"/>
    <col min="15379" max="15379" width="14.33203125" style="2" customWidth="1"/>
    <col min="15380" max="15380" width="4" style="2" customWidth="1"/>
    <col min="15381" max="15381" width="14.33203125" style="2" customWidth="1"/>
    <col min="15382" max="15382" width="4" style="2" customWidth="1"/>
    <col min="15383" max="15634" width="7.6640625" style="2" customWidth="1"/>
    <col min="15635" max="15635" width="14.33203125" style="2" customWidth="1"/>
    <col min="15636" max="15636" width="4" style="2" customWidth="1"/>
    <col min="15637" max="15637" width="14.33203125" style="2" customWidth="1"/>
    <col min="15638" max="15638" width="4" style="2" customWidth="1"/>
    <col min="15639" max="15890" width="7.6640625" style="2" customWidth="1"/>
    <col min="15891" max="15891" width="14.33203125" style="2" customWidth="1"/>
    <col min="15892" max="15892" width="4" style="2" customWidth="1"/>
    <col min="15893" max="15893" width="14.33203125" style="2" customWidth="1"/>
    <col min="15894" max="15894" width="4" style="2" customWidth="1"/>
    <col min="15895" max="16146" width="7.6640625" style="2" customWidth="1"/>
    <col min="16147" max="16147" width="14.33203125" style="2" customWidth="1"/>
    <col min="16148" max="16148" width="4" style="2" customWidth="1"/>
    <col min="16149" max="16149" width="14.33203125" style="2" customWidth="1"/>
    <col min="16150" max="16150" width="4" style="2" customWidth="1"/>
    <col min="16151" max="16384" width="7.6640625" style="2" customWidth="1"/>
  </cols>
  <sheetData>
    <row r="1" spans="1:26" ht="15" customHeight="1" x14ac:dyDescent="0.3">
      <c r="A1" s="85"/>
      <c r="B1" s="86"/>
      <c r="C1" s="86"/>
      <c r="D1" s="86"/>
      <c r="E1" s="86"/>
      <c r="F1" s="1"/>
      <c r="G1" s="1"/>
      <c r="H1" s="1"/>
      <c r="I1" s="1"/>
      <c r="J1" s="1"/>
      <c r="K1" s="1"/>
      <c r="L1" s="1"/>
      <c r="M1" s="1"/>
      <c r="N1" s="1"/>
      <c r="O1" s="1"/>
      <c r="P1" s="1"/>
      <c r="Q1" s="1"/>
      <c r="R1" s="1"/>
      <c r="S1" s="1"/>
      <c r="T1" s="1"/>
      <c r="U1" s="1"/>
      <c r="V1" s="1"/>
      <c r="W1" s="1"/>
      <c r="X1" s="1"/>
      <c r="Y1" s="1"/>
      <c r="Z1" s="1"/>
    </row>
    <row r="2" spans="1:26" ht="15" customHeight="1" x14ac:dyDescent="0.3">
      <c r="A2" s="3"/>
      <c r="B2" s="589" t="s">
        <v>10</v>
      </c>
      <c r="C2" s="10"/>
      <c r="D2" s="10"/>
      <c r="E2" s="10"/>
      <c r="F2" s="3"/>
      <c r="G2" s="3"/>
      <c r="H2" s="3"/>
      <c r="I2" s="3"/>
      <c r="J2" s="3"/>
      <c r="K2" s="3"/>
      <c r="L2" s="17"/>
      <c r="M2" s="3"/>
      <c r="N2" s="3"/>
      <c r="O2" s="3"/>
      <c r="P2" s="3"/>
      <c r="Q2" s="3"/>
      <c r="R2" s="3"/>
      <c r="S2" s="3"/>
      <c r="T2" s="3"/>
      <c r="U2" s="3"/>
      <c r="V2" s="3"/>
      <c r="W2" s="3"/>
      <c r="X2" s="3"/>
      <c r="Y2" s="79"/>
      <c r="Z2" s="79"/>
    </row>
    <row r="3" spans="1:26" ht="15" customHeight="1" x14ac:dyDescent="0.3">
      <c r="A3" s="3"/>
      <c r="B3" s="739" t="str">
        <f>Overview!$B$7</f>
        <v>Grove Park Drive</v>
      </c>
      <c r="C3" s="3"/>
      <c r="D3" s="3"/>
      <c r="E3" s="3"/>
      <c r="F3" s="3"/>
      <c r="G3" s="3"/>
      <c r="H3" s="3"/>
      <c r="I3" s="3"/>
      <c r="J3" s="3"/>
      <c r="K3" s="3"/>
      <c r="L3" s="3"/>
      <c r="M3" s="3"/>
      <c r="N3" s="3"/>
      <c r="O3" s="3"/>
      <c r="P3" s="3"/>
      <c r="Q3" s="3"/>
      <c r="R3" s="3"/>
      <c r="S3" s="3"/>
      <c r="T3" s="3"/>
      <c r="U3" s="3"/>
      <c r="V3" s="3"/>
      <c r="W3" s="3"/>
      <c r="X3" s="3"/>
      <c r="Y3" s="79"/>
      <c r="Z3" s="79"/>
    </row>
    <row r="4" spans="1:26" ht="15" customHeight="1" x14ac:dyDescent="0.3">
      <c r="A4" s="3"/>
      <c r="B4" s="3"/>
      <c r="C4" s="3"/>
      <c r="D4" s="3"/>
      <c r="E4" s="3"/>
      <c r="F4" s="3"/>
      <c r="G4" s="3"/>
      <c r="H4" s="3"/>
      <c r="I4" s="3"/>
      <c r="J4" s="3"/>
      <c r="K4" s="3"/>
      <c r="L4" s="3"/>
      <c r="M4" s="3"/>
      <c r="N4" s="3"/>
      <c r="O4" s="3"/>
      <c r="P4" s="3"/>
      <c r="Q4" s="3"/>
      <c r="R4" s="3"/>
      <c r="S4" s="3"/>
      <c r="T4" s="3"/>
      <c r="U4" s="3"/>
      <c r="V4" s="3"/>
      <c r="W4" s="3"/>
      <c r="X4" s="3"/>
      <c r="Y4" s="79"/>
      <c r="Z4" s="79"/>
    </row>
    <row r="5" spans="1:26" ht="15" customHeight="1" thickBot="1" x14ac:dyDescent="0.35">
      <c r="A5" s="3"/>
      <c r="B5" s="723" t="s">
        <v>273</v>
      </c>
      <c r="C5" s="3"/>
      <c r="D5" s="3"/>
      <c r="E5" s="3"/>
      <c r="F5" s="3"/>
      <c r="G5" s="3"/>
      <c r="H5" s="3"/>
      <c r="I5" s="3"/>
      <c r="J5" s="3"/>
      <c r="K5" s="3"/>
      <c r="L5" s="3"/>
      <c r="M5" s="3"/>
      <c r="N5" s="3"/>
      <c r="O5" s="3"/>
      <c r="P5" s="3"/>
      <c r="Q5" s="3"/>
      <c r="R5" s="3"/>
      <c r="S5" s="3"/>
      <c r="T5" s="3"/>
      <c r="U5" s="3"/>
      <c r="V5" s="3"/>
      <c r="W5" s="3"/>
      <c r="X5" s="3"/>
      <c r="Y5" s="79"/>
      <c r="Z5" s="79"/>
    </row>
    <row r="6" spans="1:26" ht="15" customHeight="1" thickBot="1" x14ac:dyDescent="0.35">
      <c r="A6" s="3"/>
      <c r="B6" s="69" t="s">
        <v>95</v>
      </c>
      <c r="C6" s="70" t="s">
        <v>102</v>
      </c>
      <c r="D6" s="3"/>
      <c r="E6" s="3"/>
      <c r="F6" s="3"/>
      <c r="G6" s="3"/>
      <c r="H6" s="3"/>
      <c r="I6" s="3"/>
      <c r="J6" s="3"/>
      <c r="K6" s="3"/>
      <c r="L6" s="3"/>
      <c r="M6" s="3"/>
      <c r="N6" s="3"/>
      <c r="O6" s="3"/>
      <c r="P6" s="3"/>
      <c r="Q6" s="3"/>
      <c r="R6" s="3"/>
      <c r="S6" s="3"/>
      <c r="T6" s="3"/>
      <c r="U6" s="3"/>
      <c r="V6" s="3"/>
      <c r="W6" s="3"/>
      <c r="X6" s="3"/>
      <c r="Y6" s="79"/>
      <c r="Z6" s="79"/>
    </row>
    <row r="7" spans="1:26" ht="15" customHeight="1" x14ac:dyDescent="0.3">
      <c r="A7" s="3"/>
      <c r="B7" s="71">
        <v>2010</v>
      </c>
      <c r="C7" s="286"/>
      <c r="D7" s="3"/>
      <c r="E7" s="3"/>
      <c r="F7" s="3"/>
      <c r="G7" s="3"/>
      <c r="H7" s="3"/>
      <c r="I7" s="3"/>
      <c r="J7" s="3"/>
      <c r="K7" s="3"/>
      <c r="L7" s="3"/>
      <c r="M7" s="3"/>
      <c r="N7" s="3"/>
      <c r="O7" s="3"/>
      <c r="P7" s="3"/>
      <c r="Q7" s="3"/>
      <c r="R7" s="3"/>
      <c r="S7" s="3"/>
      <c r="T7" s="3"/>
      <c r="U7" s="3"/>
      <c r="V7" s="3"/>
      <c r="W7" s="3"/>
      <c r="X7" s="3"/>
      <c r="Y7" s="79"/>
      <c r="Z7" s="79"/>
    </row>
    <row r="8" spans="1:26" ht="15" customHeight="1" x14ac:dyDescent="0.3">
      <c r="A8" s="3"/>
      <c r="B8" s="57">
        <v>2011</v>
      </c>
      <c r="C8" s="72">
        <v>99.4</v>
      </c>
      <c r="D8" s="3"/>
      <c r="E8" s="3"/>
      <c r="F8" s="3"/>
      <c r="G8" s="3"/>
      <c r="H8" s="3"/>
      <c r="I8" s="3"/>
      <c r="J8" s="3"/>
      <c r="K8" s="3"/>
      <c r="L8" s="3"/>
      <c r="M8" s="3"/>
      <c r="N8" s="3"/>
      <c r="O8" s="3"/>
      <c r="P8" s="3"/>
      <c r="Q8" s="3"/>
      <c r="R8" s="3"/>
      <c r="S8" s="3"/>
      <c r="T8" s="3"/>
      <c r="U8" s="3"/>
      <c r="V8" s="3"/>
      <c r="W8" s="3"/>
      <c r="X8" s="3"/>
      <c r="Y8" s="79"/>
      <c r="Z8" s="79"/>
    </row>
    <row r="9" spans="1:26" ht="15" customHeight="1" x14ac:dyDescent="0.3">
      <c r="A9" s="3"/>
      <c r="B9" s="57">
        <v>2012</v>
      </c>
      <c r="C9" s="72">
        <v>101.1</v>
      </c>
      <c r="D9" s="3"/>
      <c r="E9" s="3"/>
      <c r="F9" s="3"/>
      <c r="G9" s="3"/>
      <c r="H9" s="3"/>
      <c r="I9" s="3"/>
      <c r="J9" s="3"/>
      <c r="K9" s="3"/>
      <c r="L9" s="3"/>
      <c r="M9" s="3"/>
      <c r="N9" s="3"/>
      <c r="O9" s="3"/>
      <c r="P9" s="3"/>
      <c r="Q9" s="3"/>
      <c r="R9" s="3"/>
      <c r="S9" s="3"/>
      <c r="T9" s="3"/>
      <c r="U9" s="3"/>
      <c r="V9" s="3"/>
      <c r="W9" s="3"/>
      <c r="X9" s="3"/>
      <c r="Y9" s="79"/>
      <c r="Z9" s="79"/>
    </row>
    <row r="10" spans="1:26" ht="15" customHeight="1" x14ac:dyDescent="0.3">
      <c r="A10" s="3"/>
      <c r="B10" s="57">
        <v>2013</v>
      </c>
      <c r="C10" s="73">
        <v>101.6</v>
      </c>
      <c r="D10" s="3"/>
      <c r="E10" s="3"/>
      <c r="F10" s="3"/>
      <c r="G10" s="3"/>
      <c r="H10" s="3"/>
      <c r="I10" s="3"/>
      <c r="J10" s="3"/>
      <c r="K10" s="3"/>
      <c r="L10" s="3"/>
      <c r="M10" s="3"/>
      <c r="N10" s="3"/>
      <c r="O10" s="3"/>
      <c r="P10" s="3"/>
      <c r="Q10" s="3"/>
      <c r="R10" s="3"/>
      <c r="S10" s="3"/>
      <c r="T10" s="3"/>
      <c r="U10" s="3"/>
      <c r="V10" s="3"/>
      <c r="W10" s="3"/>
      <c r="X10" s="3"/>
      <c r="Y10" s="79"/>
      <c r="Z10" s="79"/>
    </row>
    <row r="11" spans="1:26" ht="15" customHeight="1" x14ac:dyDescent="0.3">
      <c r="A11" s="3"/>
      <c r="B11" s="57">
        <v>2014</v>
      </c>
      <c r="C11" s="73">
        <v>101.8</v>
      </c>
      <c r="D11" s="3"/>
      <c r="E11" s="3"/>
      <c r="F11" s="3"/>
      <c r="G11" s="3"/>
      <c r="H11" s="3"/>
      <c r="I11" s="3"/>
      <c r="J11" s="3"/>
      <c r="K11" s="3"/>
      <c r="L11" s="3"/>
      <c r="M11" s="3"/>
      <c r="N11" s="3"/>
      <c r="O11" s="3"/>
      <c r="P11" s="3"/>
      <c r="Q11" s="3"/>
      <c r="R11" s="3"/>
      <c r="S11" s="3"/>
      <c r="T11" s="3"/>
      <c r="U11" s="3"/>
      <c r="V11" s="3"/>
      <c r="W11" s="3"/>
      <c r="X11" s="3"/>
      <c r="Y11" s="79"/>
      <c r="Z11" s="79"/>
    </row>
    <row r="12" spans="1:26" ht="15" customHeight="1" x14ac:dyDescent="0.3">
      <c r="A12" s="3"/>
      <c r="B12" s="57">
        <v>2015</v>
      </c>
      <c r="C12" s="72">
        <v>101.5</v>
      </c>
      <c r="D12" s="3"/>
      <c r="E12" s="3"/>
      <c r="F12" s="3"/>
      <c r="G12" s="3"/>
      <c r="H12" s="3"/>
      <c r="I12" s="3"/>
      <c r="J12" s="3"/>
      <c r="K12" s="3"/>
      <c r="L12" s="3"/>
      <c r="M12" s="3"/>
      <c r="N12" s="3"/>
      <c r="O12" s="3"/>
      <c r="P12" s="3"/>
      <c r="Q12" s="3"/>
      <c r="R12" s="3"/>
      <c r="S12" s="3"/>
      <c r="T12" s="3"/>
      <c r="U12" s="3"/>
      <c r="V12" s="3"/>
      <c r="W12" s="3"/>
      <c r="X12" s="3"/>
      <c r="Y12" s="79"/>
      <c r="Z12" s="79"/>
    </row>
    <row r="13" spans="1:26" ht="15" customHeight="1" x14ac:dyDescent="0.3">
      <c r="A13" s="3"/>
      <c r="B13" s="57">
        <v>2016</v>
      </c>
      <c r="C13" s="72">
        <v>101.5</v>
      </c>
      <c r="D13" s="3"/>
      <c r="E13" s="3"/>
      <c r="F13" s="3"/>
      <c r="G13" s="3"/>
      <c r="H13" s="3"/>
      <c r="I13" s="3"/>
      <c r="J13" s="3"/>
      <c r="K13" s="3"/>
      <c r="L13" s="3"/>
      <c r="M13" s="3"/>
      <c r="N13" s="3"/>
      <c r="O13" s="3"/>
      <c r="P13" s="3"/>
      <c r="Q13" s="3"/>
      <c r="R13" s="3"/>
      <c r="S13" s="3"/>
      <c r="T13" s="3"/>
      <c r="U13" s="3"/>
      <c r="V13" s="3"/>
      <c r="W13" s="3"/>
      <c r="X13" s="3"/>
      <c r="Y13" s="79"/>
      <c r="Z13" s="79"/>
    </row>
    <row r="14" spans="1:26" ht="15" customHeight="1" x14ac:dyDescent="0.3">
      <c r="A14" s="3"/>
      <c r="B14" s="57">
        <v>2017</v>
      </c>
      <c r="C14" s="74">
        <v>101.9</v>
      </c>
      <c r="D14" s="3"/>
      <c r="E14" s="145"/>
      <c r="F14" s="3"/>
      <c r="G14" s="3"/>
      <c r="H14" s="3"/>
      <c r="I14" s="3"/>
      <c r="J14" s="3"/>
      <c r="K14" s="3"/>
      <c r="L14" s="3"/>
      <c r="M14" s="3"/>
      <c r="N14" s="3"/>
      <c r="O14" s="3"/>
      <c r="P14" s="3"/>
      <c r="Q14" s="3"/>
      <c r="R14" s="3"/>
      <c r="S14" s="3"/>
      <c r="T14" s="3"/>
      <c r="U14" s="3"/>
      <c r="V14" s="3"/>
      <c r="W14" s="3"/>
      <c r="X14" s="3"/>
      <c r="Y14" s="79"/>
      <c r="Z14" s="79"/>
    </row>
    <row r="15" spans="1:26" ht="15" customHeight="1" x14ac:dyDescent="0.3">
      <c r="A15" s="3"/>
      <c r="B15" s="57">
        <v>2018</v>
      </c>
      <c r="C15" s="741">
        <f>C14+0.5</f>
        <v>102.4</v>
      </c>
      <c r="D15" s="354" t="s">
        <v>291</v>
      </c>
      <c r="E15" s="3"/>
      <c r="F15" s="3"/>
      <c r="G15" s="3"/>
      <c r="H15" s="3"/>
      <c r="I15" s="3"/>
      <c r="J15" s="3"/>
      <c r="K15" s="3"/>
      <c r="L15" s="3"/>
      <c r="M15" s="3"/>
      <c r="N15" s="3"/>
      <c r="O15" s="3"/>
      <c r="P15" s="3"/>
      <c r="Q15" s="3"/>
      <c r="R15" s="3"/>
      <c r="S15" s="3"/>
      <c r="T15" s="3"/>
      <c r="U15" s="3"/>
      <c r="V15" s="3"/>
      <c r="W15" s="3"/>
      <c r="X15" s="3"/>
      <c r="Y15" s="79"/>
      <c r="Z15" s="79"/>
    </row>
    <row r="16" spans="1:26" ht="15" customHeight="1" x14ac:dyDescent="0.3">
      <c r="A16" s="3"/>
      <c r="B16" s="57">
        <v>2019</v>
      </c>
      <c r="C16" s="741">
        <f t="shared" ref="C16:C28" si="0">C15+0.5</f>
        <v>102.9</v>
      </c>
      <c r="D16" s="354" t="s">
        <v>291</v>
      </c>
      <c r="E16" s="146"/>
      <c r="F16" s="3"/>
      <c r="G16" s="3"/>
      <c r="H16" s="3"/>
      <c r="I16" s="3"/>
      <c r="J16" s="3"/>
      <c r="K16" s="3"/>
      <c r="L16" s="3"/>
      <c r="M16" s="3"/>
      <c r="N16" s="3"/>
      <c r="O16" s="3"/>
      <c r="P16" s="3"/>
      <c r="Q16" s="3"/>
      <c r="R16" s="3"/>
      <c r="S16" s="3"/>
      <c r="T16" s="3"/>
      <c r="U16" s="3"/>
      <c r="V16" s="3"/>
      <c r="W16" s="3"/>
      <c r="X16" s="3"/>
      <c r="Y16" s="79"/>
      <c r="Z16" s="79"/>
    </row>
    <row r="17" spans="1:26" ht="15" customHeight="1" x14ac:dyDescent="0.3">
      <c r="A17" s="3"/>
      <c r="B17" s="57">
        <v>2020</v>
      </c>
      <c r="C17" s="741">
        <f t="shared" si="0"/>
        <v>103.4</v>
      </c>
      <c r="D17" s="354" t="s">
        <v>291</v>
      </c>
      <c r="E17" s="3"/>
      <c r="F17" s="3"/>
      <c r="G17" s="3"/>
      <c r="H17" s="3"/>
      <c r="I17" s="3"/>
      <c r="J17" s="3"/>
      <c r="K17" s="3"/>
      <c r="L17" s="3"/>
      <c r="M17" s="3"/>
      <c r="N17" s="3"/>
      <c r="O17" s="3"/>
      <c r="P17" s="3"/>
      <c r="Q17" s="3"/>
      <c r="R17" s="3"/>
      <c r="S17" s="3"/>
      <c r="T17" s="3"/>
      <c r="U17" s="3"/>
      <c r="V17" s="3"/>
      <c r="W17" s="3"/>
      <c r="X17" s="3"/>
      <c r="Y17" s="79"/>
      <c r="Z17" s="79"/>
    </row>
    <row r="18" spans="1:26" ht="15" customHeight="1" x14ac:dyDescent="0.3">
      <c r="A18" s="3"/>
      <c r="B18" s="57">
        <v>2021</v>
      </c>
      <c r="C18" s="741">
        <f t="shared" si="0"/>
        <v>103.9</v>
      </c>
      <c r="D18" s="354" t="s">
        <v>291</v>
      </c>
      <c r="E18" s="3"/>
      <c r="F18" s="3"/>
      <c r="G18" s="3"/>
      <c r="H18" s="3"/>
      <c r="I18" s="3"/>
      <c r="J18" s="3"/>
      <c r="K18" s="3"/>
      <c r="L18" s="3"/>
      <c r="M18" s="3"/>
      <c r="N18" s="3"/>
      <c r="O18" s="3"/>
      <c r="P18" s="3"/>
      <c r="Q18" s="3"/>
      <c r="R18" s="3"/>
      <c r="S18" s="3"/>
      <c r="T18" s="3"/>
      <c r="U18" s="3"/>
      <c r="V18" s="3"/>
      <c r="W18" s="3"/>
      <c r="X18" s="3"/>
      <c r="Y18" s="79"/>
      <c r="Z18" s="79"/>
    </row>
    <row r="19" spans="1:26" ht="15" customHeight="1" x14ac:dyDescent="0.3">
      <c r="A19" s="3"/>
      <c r="B19" s="57">
        <v>2022</v>
      </c>
      <c r="C19" s="741">
        <f t="shared" si="0"/>
        <v>104.4</v>
      </c>
      <c r="D19" s="354" t="s">
        <v>291</v>
      </c>
      <c r="E19" s="146"/>
      <c r="F19" s="3"/>
      <c r="G19" s="3"/>
      <c r="H19" s="3"/>
      <c r="I19" s="3"/>
      <c r="J19" s="3"/>
      <c r="K19" s="3"/>
      <c r="L19" s="3"/>
      <c r="M19" s="3"/>
      <c r="N19" s="3"/>
      <c r="O19" s="3"/>
      <c r="P19" s="3"/>
      <c r="Q19" s="3"/>
      <c r="R19" s="3"/>
      <c r="S19" s="3"/>
      <c r="T19" s="3"/>
      <c r="U19" s="3"/>
      <c r="V19" s="3"/>
      <c r="W19" s="3"/>
      <c r="X19" s="3"/>
      <c r="Y19" s="79"/>
      <c r="Z19" s="79"/>
    </row>
    <row r="20" spans="1:26" ht="15" customHeight="1" x14ac:dyDescent="0.3">
      <c r="A20" s="3"/>
      <c r="B20" s="57">
        <v>2023</v>
      </c>
      <c r="C20" s="741">
        <f t="shared" si="0"/>
        <v>104.9</v>
      </c>
      <c r="D20" s="354" t="s">
        <v>291</v>
      </c>
      <c r="E20" s="3"/>
      <c r="F20" s="3"/>
      <c r="G20" s="3"/>
      <c r="H20" s="3"/>
      <c r="I20" s="3"/>
      <c r="J20" s="3"/>
      <c r="K20" s="3"/>
      <c r="L20" s="3"/>
      <c r="M20" s="3"/>
      <c r="N20" s="3"/>
      <c r="O20" s="3"/>
      <c r="P20" s="3"/>
      <c r="Q20" s="3"/>
      <c r="R20" s="3"/>
      <c r="S20" s="3"/>
      <c r="T20" s="3"/>
      <c r="U20" s="3"/>
      <c r="V20" s="3"/>
      <c r="W20" s="3"/>
      <c r="X20" s="3"/>
      <c r="Y20" s="79"/>
      <c r="Z20" s="79"/>
    </row>
    <row r="21" spans="1:26" ht="15" customHeight="1" x14ac:dyDescent="0.3">
      <c r="A21" s="3"/>
      <c r="B21" s="57">
        <v>2024</v>
      </c>
      <c r="C21" s="741">
        <f t="shared" si="0"/>
        <v>105.4</v>
      </c>
      <c r="D21" s="354" t="s">
        <v>291</v>
      </c>
      <c r="E21" s="3"/>
      <c r="F21" s="3"/>
      <c r="G21" s="3"/>
      <c r="H21" s="3"/>
      <c r="I21" s="3"/>
      <c r="J21" s="3"/>
      <c r="K21" s="3"/>
      <c r="L21" s="3"/>
      <c r="M21" s="3"/>
      <c r="N21" s="3"/>
      <c r="O21" s="3"/>
      <c r="P21" s="3"/>
      <c r="Q21" s="3"/>
      <c r="R21" s="3"/>
      <c r="S21" s="3"/>
      <c r="T21" s="3"/>
      <c r="U21" s="3"/>
      <c r="V21" s="3"/>
      <c r="W21" s="3"/>
      <c r="X21" s="3"/>
      <c r="Y21" s="79"/>
      <c r="Z21" s="79"/>
    </row>
    <row r="22" spans="1:26" ht="15" customHeight="1" x14ac:dyDescent="0.3">
      <c r="A22" s="3"/>
      <c r="B22" s="57">
        <v>2025</v>
      </c>
      <c r="C22" s="741">
        <f t="shared" si="0"/>
        <v>105.9</v>
      </c>
      <c r="D22" s="354" t="s">
        <v>291</v>
      </c>
      <c r="E22" s="3"/>
      <c r="F22" s="3"/>
      <c r="G22" s="3"/>
      <c r="H22" s="3"/>
      <c r="I22" s="3"/>
      <c r="J22" s="3"/>
      <c r="K22" s="3"/>
      <c r="L22" s="3"/>
      <c r="M22" s="3"/>
      <c r="N22" s="3"/>
      <c r="O22" s="3"/>
      <c r="P22" s="3"/>
      <c r="Q22" s="3"/>
      <c r="R22" s="3"/>
      <c r="S22" s="3"/>
      <c r="T22" s="3"/>
      <c r="U22" s="3"/>
      <c r="V22" s="3"/>
      <c r="W22" s="3"/>
      <c r="X22" s="3"/>
      <c r="Y22" s="79"/>
      <c r="Z22" s="79"/>
    </row>
    <row r="23" spans="1:26" ht="15" customHeight="1" x14ac:dyDescent="0.3">
      <c r="A23" s="3"/>
      <c r="B23" s="57">
        <v>2026</v>
      </c>
      <c r="C23" s="741">
        <f t="shared" si="0"/>
        <v>106.4</v>
      </c>
      <c r="D23" s="354" t="s">
        <v>291</v>
      </c>
      <c r="E23" s="3"/>
      <c r="F23" s="3"/>
      <c r="G23" s="3"/>
      <c r="H23" s="3"/>
      <c r="I23" s="3"/>
      <c r="J23" s="3"/>
      <c r="K23" s="3"/>
      <c r="L23" s="3"/>
      <c r="M23" s="3"/>
      <c r="N23" s="3"/>
      <c r="O23" s="3"/>
      <c r="P23" s="3"/>
      <c r="Q23" s="3"/>
      <c r="R23" s="3"/>
      <c r="S23" s="3"/>
      <c r="T23" s="3"/>
      <c r="U23" s="3"/>
      <c r="V23" s="3"/>
      <c r="W23" s="3"/>
      <c r="X23" s="3"/>
      <c r="Y23" s="79"/>
      <c r="Z23" s="79"/>
    </row>
    <row r="24" spans="1:26" ht="15" customHeight="1" x14ac:dyDescent="0.3">
      <c r="A24" s="3"/>
      <c r="B24" s="57">
        <v>2027</v>
      </c>
      <c r="C24" s="741">
        <f t="shared" si="0"/>
        <v>106.9</v>
      </c>
      <c r="D24" s="354" t="s">
        <v>291</v>
      </c>
      <c r="E24" s="3"/>
      <c r="F24" s="3"/>
      <c r="G24" s="3"/>
      <c r="H24" s="3"/>
      <c r="I24" s="3"/>
      <c r="J24" s="3"/>
      <c r="K24" s="3"/>
      <c r="L24" s="3"/>
      <c r="M24" s="3"/>
      <c r="N24" s="3"/>
      <c r="O24" s="3"/>
      <c r="P24" s="3"/>
      <c r="Q24" s="3"/>
      <c r="R24" s="3"/>
      <c r="S24" s="3"/>
      <c r="T24" s="3"/>
      <c r="U24" s="3"/>
      <c r="V24" s="3"/>
      <c r="W24" s="3"/>
      <c r="X24" s="3"/>
      <c r="Y24" s="79"/>
      <c r="Z24" s="79"/>
    </row>
    <row r="25" spans="1:26" ht="15" customHeight="1" x14ac:dyDescent="0.3">
      <c r="A25" s="3"/>
      <c r="B25" s="57">
        <v>2028</v>
      </c>
      <c r="C25" s="741">
        <f t="shared" si="0"/>
        <v>107.4</v>
      </c>
      <c r="D25" s="354" t="s">
        <v>291</v>
      </c>
      <c r="E25" s="3"/>
      <c r="F25" s="3"/>
      <c r="G25" s="3"/>
      <c r="H25" s="3"/>
      <c r="I25" s="3"/>
      <c r="J25" s="3"/>
      <c r="K25" s="3"/>
      <c r="L25" s="3"/>
      <c r="M25" s="3"/>
      <c r="N25" s="3"/>
      <c r="O25" s="3"/>
      <c r="P25" s="3"/>
      <c r="Q25" s="3"/>
      <c r="R25" s="3"/>
      <c r="S25" s="3"/>
      <c r="T25" s="3"/>
      <c r="U25" s="3"/>
      <c r="V25" s="3"/>
      <c r="W25" s="3"/>
      <c r="X25" s="3"/>
      <c r="Y25" s="79"/>
      <c r="Z25" s="79"/>
    </row>
    <row r="26" spans="1:26" ht="15" customHeight="1" x14ac:dyDescent="0.3">
      <c r="A26" s="3"/>
      <c r="B26" s="57">
        <v>2029</v>
      </c>
      <c r="C26" s="741">
        <f t="shared" si="0"/>
        <v>107.9</v>
      </c>
      <c r="D26" s="354" t="s">
        <v>291</v>
      </c>
      <c r="E26" s="3"/>
      <c r="F26" s="3"/>
      <c r="G26" s="3"/>
      <c r="H26" s="3"/>
      <c r="I26" s="3"/>
      <c r="J26" s="3"/>
      <c r="K26" s="3"/>
      <c r="L26" s="3"/>
      <c r="M26" s="3"/>
      <c r="N26" s="3"/>
      <c r="O26" s="3"/>
      <c r="P26" s="3"/>
      <c r="Q26" s="3"/>
      <c r="R26" s="3"/>
      <c r="S26" s="3"/>
      <c r="T26" s="3"/>
      <c r="U26" s="3"/>
      <c r="V26" s="3"/>
      <c r="W26" s="3"/>
      <c r="X26" s="3"/>
      <c r="Y26" s="79"/>
      <c r="Z26" s="79"/>
    </row>
    <row r="27" spans="1:26" ht="15" customHeight="1" x14ac:dyDescent="0.3">
      <c r="A27" s="3"/>
      <c r="B27" s="57">
        <v>2030</v>
      </c>
      <c r="C27" s="741">
        <f t="shared" si="0"/>
        <v>108.4</v>
      </c>
      <c r="D27" s="354" t="s">
        <v>291</v>
      </c>
      <c r="E27" s="3"/>
      <c r="F27" s="3"/>
      <c r="G27" s="3"/>
      <c r="H27" s="3"/>
      <c r="I27" s="3"/>
      <c r="J27" s="3"/>
      <c r="K27" s="3"/>
      <c r="L27" s="3"/>
      <c r="M27" s="3"/>
      <c r="N27" s="3"/>
      <c r="O27" s="3"/>
      <c r="P27" s="3"/>
      <c r="Q27" s="3"/>
      <c r="R27" s="3"/>
      <c r="S27" s="3"/>
      <c r="T27" s="3"/>
      <c r="U27" s="3"/>
      <c r="V27" s="3"/>
      <c r="W27" s="3"/>
      <c r="X27" s="3"/>
      <c r="Y27" s="79"/>
      <c r="Z27" s="79"/>
    </row>
    <row r="28" spans="1:26" ht="15" customHeight="1" thickBot="1" x14ac:dyDescent="0.35">
      <c r="A28" s="3"/>
      <c r="B28" s="56">
        <v>2031</v>
      </c>
      <c r="C28" s="741">
        <f t="shared" si="0"/>
        <v>108.9</v>
      </c>
      <c r="D28" s="354" t="s">
        <v>291</v>
      </c>
      <c r="E28" s="3"/>
      <c r="F28" s="3"/>
      <c r="G28" s="3"/>
      <c r="H28" s="3"/>
      <c r="I28" s="3"/>
      <c r="J28" s="3"/>
      <c r="K28" s="3"/>
      <c r="L28" s="3"/>
      <c r="M28" s="3"/>
      <c r="N28" s="3"/>
      <c r="O28" s="3"/>
      <c r="P28" s="3"/>
      <c r="Q28" s="3"/>
      <c r="R28" s="3"/>
      <c r="S28" s="3"/>
      <c r="T28" s="3"/>
      <c r="U28" s="3"/>
      <c r="V28" s="3"/>
      <c r="W28" s="3"/>
      <c r="X28" s="3"/>
      <c r="Y28" s="79"/>
      <c r="Z28" s="79"/>
    </row>
    <row r="29" spans="1:26" ht="15" customHeight="1" x14ac:dyDescent="0.3">
      <c r="A29" s="79"/>
      <c r="B29" s="740" t="s">
        <v>274</v>
      </c>
      <c r="C29" s="678"/>
      <c r="D29" s="79"/>
      <c r="E29" s="79"/>
      <c r="F29" s="79"/>
      <c r="G29" s="79"/>
      <c r="H29" s="79"/>
      <c r="I29" s="79"/>
      <c r="J29" s="79"/>
      <c r="K29" s="79"/>
      <c r="L29" s="79"/>
      <c r="M29" s="79"/>
      <c r="N29" s="79"/>
      <c r="O29" s="79"/>
      <c r="P29" s="79"/>
      <c r="Q29" s="79"/>
      <c r="R29" s="79"/>
      <c r="S29" s="79"/>
      <c r="T29" s="79"/>
      <c r="U29" s="79"/>
      <c r="V29" s="79"/>
      <c r="W29" s="79"/>
      <c r="X29" s="79"/>
      <c r="Y29" s="79"/>
      <c r="Z29" s="79"/>
    </row>
    <row r="30" spans="1:26" ht="15" customHeight="1" x14ac:dyDescent="0.3">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row>
    <row r="31" spans="1:26" ht="15" customHeight="1" x14ac:dyDescent="0.3">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row>
    <row r="32" spans="1:26" ht="15" customHeight="1" x14ac:dyDescent="0.3">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 customHeight="1" thickBot="1" x14ac:dyDescent="0.3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 customHeight="1" thickBot="1" x14ac:dyDescent="0.35">
      <c r="A34" s="3"/>
      <c r="B34" s="742" t="s">
        <v>181</v>
      </c>
      <c r="C34" s="743"/>
      <c r="D34" s="743"/>
      <c r="E34" s="744">
        <f>'Scheme Entry - Baseline'!L5</f>
        <v>0.05</v>
      </c>
      <c r="F34" s="3"/>
      <c r="G34" s="3"/>
      <c r="H34" s="3"/>
      <c r="I34" s="3"/>
      <c r="J34" s="3"/>
      <c r="K34" s="3"/>
      <c r="L34" s="3"/>
      <c r="M34" s="3"/>
      <c r="N34" s="3"/>
      <c r="O34" s="3"/>
      <c r="P34" s="3"/>
      <c r="Q34" s="3"/>
      <c r="R34" s="3"/>
      <c r="S34" s="3"/>
      <c r="T34" s="3"/>
      <c r="U34" s="3"/>
      <c r="V34" s="3"/>
      <c r="W34" s="3"/>
      <c r="X34" s="3"/>
      <c r="Y34" s="3"/>
      <c r="Z34" s="3"/>
    </row>
    <row r="35" spans="1:26" ht="15" customHeight="1" thickBot="1" x14ac:dyDescent="0.35">
      <c r="A35" s="3"/>
      <c r="B35" s="1604" t="s">
        <v>95</v>
      </c>
      <c r="C35" s="1605"/>
      <c r="D35" s="749" t="s">
        <v>182</v>
      </c>
      <c r="E35" s="745" t="s">
        <v>53</v>
      </c>
      <c r="F35" s="687"/>
      <c r="G35" s="1603"/>
      <c r="H35" s="1603"/>
      <c r="I35" s="219"/>
      <c r="J35" s="219"/>
      <c r="K35" s="713"/>
      <c r="L35" s="1603"/>
      <c r="M35" s="1603"/>
      <c r="N35" s="219"/>
      <c r="O35" s="219"/>
      <c r="P35" s="713"/>
      <c r="Q35" s="1603"/>
      <c r="R35" s="1603"/>
      <c r="S35" s="219"/>
      <c r="T35" s="219"/>
      <c r="U35" s="3"/>
      <c r="V35" s="3"/>
      <c r="W35" s="3"/>
      <c r="X35" s="3"/>
      <c r="Y35" s="3"/>
      <c r="Z35" s="3"/>
    </row>
    <row r="36" spans="1:26" ht="15" customHeight="1" x14ac:dyDescent="0.3">
      <c r="A36" s="3"/>
      <c r="B36" s="1598">
        <v>2010</v>
      </c>
      <c r="C36" s="1599"/>
      <c r="D36" s="692" t="s">
        <v>74</v>
      </c>
      <c r="E36" s="746" t="s">
        <v>74</v>
      </c>
      <c r="F36" s="687"/>
      <c r="G36" s="1602"/>
      <c r="H36" s="1602"/>
      <c r="I36" s="795"/>
      <c r="J36" s="796"/>
      <c r="K36" s="713"/>
      <c r="L36" s="1602"/>
      <c r="M36" s="1602"/>
      <c r="N36" s="795"/>
      <c r="O36" s="796"/>
      <c r="P36" s="713"/>
      <c r="Q36" s="1602"/>
      <c r="R36" s="1602"/>
      <c r="S36" s="795"/>
      <c r="T36" s="796"/>
      <c r="U36" s="3"/>
      <c r="V36" s="3"/>
      <c r="W36" s="3"/>
      <c r="X36" s="3"/>
      <c r="Y36" s="3"/>
      <c r="Z36" s="3"/>
    </row>
    <row r="37" spans="1:26" ht="15" customHeight="1" x14ac:dyDescent="0.3">
      <c r="A37" s="3"/>
      <c r="B37" s="1606">
        <v>2011</v>
      </c>
      <c r="C37" s="1607"/>
      <c r="D37" s="691">
        <v>1</v>
      </c>
      <c r="E37" s="747">
        <v>1</v>
      </c>
      <c r="F37" s="687"/>
      <c r="G37" s="1602"/>
      <c r="H37" s="1602"/>
      <c r="I37" s="795"/>
      <c r="J37" s="796"/>
      <c r="K37" s="713"/>
      <c r="L37" s="1602"/>
      <c r="M37" s="1602"/>
      <c r="N37" s="795"/>
      <c r="O37" s="796"/>
      <c r="P37" s="713"/>
      <c r="Q37" s="1602"/>
      <c r="R37" s="1602"/>
      <c r="S37" s="795"/>
      <c r="T37" s="796"/>
      <c r="U37" s="3"/>
      <c r="V37" s="3"/>
      <c r="W37" s="3"/>
      <c r="X37" s="3"/>
      <c r="Y37" s="3"/>
      <c r="Z37" s="3"/>
    </row>
    <row r="38" spans="1:26" ht="15" customHeight="1" x14ac:dyDescent="0.3">
      <c r="A38" s="3"/>
      <c r="B38" s="1594">
        <v>2012</v>
      </c>
      <c r="C38" s="1595"/>
      <c r="D38" s="691">
        <v>2</v>
      </c>
      <c r="E38" s="747">
        <f t="shared" ref="E38:E75" si="1">1/(1+$E$34)^D37</f>
        <v>0.95238095238095233</v>
      </c>
      <c r="F38" s="687"/>
      <c r="G38" s="1602"/>
      <c r="H38" s="1602"/>
      <c r="I38" s="795"/>
      <c r="J38" s="796"/>
      <c r="K38" s="713"/>
      <c r="L38" s="1602"/>
      <c r="M38" s="1602"/>
      <c r="N38" s="795"/>
      <c r="O38" s="796"/>
      <c r="P38" s="713"/>
      <c r="Q38" s="1602"/>
      <c r="R38" s="1602"/>
      <c r="S38" s="795"/>
      <c r="T38" s="796"/>
      <c r="U38" s="3"/>
      <c r="V38" s="3"/>
      <c r="W38" s="3"/>
      <c r="X38" s="3"/>
      <c r="Y38" s="3"/>
      <c r="Z38" s="3"/>
    </row>
    <row r="39" spans="1:26" ht="15" customHeight="1" x14ac:dyDescent="0.3">
      <c r="A39" s="3"/>
      <c r="B39" s="1594">
        <v>2013</v>
      </c>
      <c r="C39" s="1595"/>
      <c r="D39" s="691">
        <v>3</v>
      </c>
      <c r="E39" s="747">
        <f t="shared" si="1"/>
        <v>0.90702947845804982</v>
      </c>
      <c r="F39" s="687"/>
      <c r="G39" s="1602"/>
      <c r="H39" s="1602"/>
      <c r="I39" s="795"/>
      <c r="J39" s="796"/>
      <c r="K39" s="713"/>
      <c r="L39" s="1602"/>
      <c r="M39" s="1602"/>
      <c r="N39" s="795"/>
      <c r="O39" s="796"/>
      <c r="P39" s="713"/>
      <c r="Q39" s="1602"/>
      <c r="R39" s="1602"/>
      <c r="S39" s="795"/>
      <c r="T39" s="796"/>
      <c r="U39" s="3"/>
      <c r="V39" s="3"/>
      <c r="W39" s="3"/>
      <c r="X39" s="3"/>
      <c r="Y39" s="3"/>
      <c r="Z39" s="3"/>
    </row>
    <row r="40" spans="1:26" ht="15" customHeight="1" x14ac:dyDescent="0.3">
      <c r="A40" s="3"/>
      <c r="B40" s="1594">
        <v>2014</v>
      </c>
      <c r="C40" s="1595"/>
      <c r="D40" s="691">
        <v>4</v>
      </c>
      <c r="E40" s="747">
        <f t="shared" si="1"/>
        <v>0.86383759853147601</v>
      </c>
      <c r="F40" s="687"/>
      <c r="G40" s="1602"/>
      <c r="H40" s="1602"/>
      <c r="I40" s="795"/>
      <c r="J40" s="796"/>
      <c r="K40" s="713"/>
      <c r="L40" s="1602"/>
      <c r="M40" s="1602"/>
      <c r="N40" s="795"/>
      <c r="O40" s="796"/>
      <c r="P40" s="713"/>
      <c r="Q40" s="1602"/>
      <c r="R40" s="1602"/>
      <c r="S40" s="795"/>
      <c r="T40" s="796"/>
      <c r="U40" s="3"/>
      <c r="V40" s="3"/>
      <c r="W40" s="3"/>
      <c r="X40" s="3"/>
      <c r="Y40" s="3"/>
      <c r="Z40" s="3"/>
    </row>
    <row r="41" spans="1:26" ht="15" customHeight="1" x14ac:dyDescent="0.3">
      <c r="A41" s="3"/>
      <c r="B41" s="1594">
        <v>2015</v>
      </c>
      <c r="C41" s="1595"/>
      <c r="D41" s="691">
        <v>5</v>
      </c>
      <c r="E41" s="747">
        <f t="shared" si="1"/>
        <v>0.82270247479188197</v>
      </c>
      <c r="F41" s="687"/>
      <c r="G41" s="1602"/>
      <c r="H41" s="1602"/>
      <c r="I41" s="795"/>
      <c r="J41" s="796"/>
      <c r="K41" s="713"/>
      <c r="L41" s="1602"/>
      <c r="M41" s="1602"/>
      <c r="N41" s="795"/>
      <c r="O41" s="796"/>
      <c r="P41" s="713"/>
      <c r="Q41" s="1602"/>
      <c r="R41" s="1602"/>
      <c r="S41" s="795"/>
      <c r="T41" s="796"/>
      <c r="U41" s="3"/>
      <c r="V41" s="3"/>
      <c r="W41" s="3"/>
      <c r="X41" s="3"/>
      <c r="Y41" s="3"/>
      <c r="Z41" s="3"/>
    </row>
    <row r="42" spans="1:26" ht="15" customHeight="1" x14ac:dyDescent="0.3">
      <c r="A42" s="3"/>
      <c r="B42" s="1594">
        <v>2016</v>
      </c>
      <c r="C42" s="1595"/>
      <c r="D42" s="691">
        <v>6</v>
      </c>
      <c r="E42" s="747">
        <f t="shared" si="1"/>
        <v>0.78352616646845896</v>
      </c>
      <c r="F42" s="687"/>
      <c r="G42" s="1602"/>
      <c r="H42" s="1602"/>
      <c r="I42" s="795"/>
      <c r="J42" s="796"/>
      <c r="K42" s="713"/>
      <c r="L42" s="1602"/>
      <c r="M42" s="1602"/>
      <c r="N42" s="795"/>
      <c r="O42" s="796"/>
      <c r="P42" s="713"/>
      <c r="Q42" s="1602"/>
      <c r="R42" s="1602"/>
      <c r="S42" s="795"/>
      <c r="T42" s="796"/>
      <c r="U42" s="3"/>
      <c r="V42" s="3"/>
      <c r="W42" s="3"/>
      <c r="X42" s="3"/>
      <c r="Y42" s="3"/>
      <c r="Z42" s="3"/>
    </row>
    <row r="43" spans="1:26" ht="15" customHeight="1" x14ac:dyDescent="0.3">
      <c r="A43" s="3"/>
      <c r="B43" s="1594">
        <v>2017</v>
      </c>
      <c r="C43" s="1595"/>
      <c r="D43" s="691">
        <v>7</v>
      </c>
      <c r="E43" s="747">
        <f t="shared" si="1"/>
        <v>0.74621539663662761</v>
      </c>
      <c r="F43" s="687"/>
      <c r="G43" s="1602"/>
      <c r="H43" s="1602"/>
      <c r="I43" s="795"/>
      <c r="J43" s="796"/>
      <c r="K43" s="713"/>
      <c r="L43" s="1602"/>
      <c r="M43" s="1602"/>
      <c r="N43" s="795"/>
      <c r="O43" s="796"/>
      <c r="P43" s="713"/>
      <c r="Q43" s="1602"/>
      <c r="R43" s="1602"/>
      <c r="S43" s="795"/>
      <c r="T43" s="796"/>
      <c r="U43" s="3"/>
      <c r="V43" s="3"/>
      <c r="W43" s="3"/>
      <c r="X43" s="3"/>
      <c r="Y43" s="3"/>
      <c r="Z43" s="3"/>
    </row>
    <row r="44" spans="1:26" ht="15" customHeight="1" x14ac:dyDescent="0.3">
      <c r="A44" s="3"/>
      <c r="B44" s="1594">
        <v>2018</v>
      </c>
      <c r="C44" s="1595"/>
      <c r="D44" s="691">
        <v>8</v>
      </c>
      <c r="E44" s="747">
        <f t="shared" si="1"/>
        <v>0.71068133013012147</v>
      </c>
      <c r="F44" s="687"/>
      <c r="G44" s="1602"/>
      <c r="H44" s="1602"/>
      <c r="I44" s="795"/>
      <c r="J44" s="796"/>
      <c r="K44" s="713"/>
      <c r="L44" s="1602"/>
      <c r="M44" s="1602"/>
      <c r="N44" s="795"/>
      <c r="O44" s="796"/>
      <c r="P44" s="713"/>
      <c r="Q44" s="1602"/>
      <c r="R44" s="1602"/>
      <c r="S44" s="795"/>
      <c r="T44" s="796"/>
      <c r="U44" s="3"/>
      <c r="V44" s="3"/>
      <c r="W44" s="3"/>
      <c r="X44" s="3"/>
      <c r="Y44" s="3"/>
      <c r="Z44" s="3"/>
    </row>
    <row r="45" spans="1:26" ht="15" customHeight="1" thickBot="1" x14ac:dyDescent="0.35">
      <c r="A45" s="3"/>
      <c r="B45" s="1600">
        <v>2019</v>
      </c>
      <c r="C45" s="1601"/>
      <c r="D45" s="436">
        <v>9</v>
      </c>
      <c r="E45" s="797">
        <f t="shared" si="1"/>
        <v>0.67683936202868722</v>
      </c>
      <c r="F45" s="687"/>
      <c r="G45" s="1602"/>
      <c r="H45" s="1602"/>
      <c r="I45" s="795"/>
      <c r="J45" s="796"/>
      <c r="K45" s="713"/>
      <c r="L45" s="1602"/>
      <c r="M45" s="1602"/>
      <c r="N45" s="795"/>
      <c r="O45" s="796"/>
      <c r="P45" s="713"/>
      <c r="Q45" s="1602"/>
      <c r="R45" s="1602"/>
      <c r="S45" s="795"/>
      <c r="T45" s="796"/>
      <c r="U45" s="3"/>
      <c r="V45" s="3"/>
      <c r="W45" s="3"/>
      <c r="X45" s="3"/>
      <c r="Y45" s="3"/>
      <c r="Z45" s="3"/>
    </row>
    <row r="46" spans="1:26" ht="15" customHeight="1" x14ac:dyDescent="0.3">
      <c r="A46" s="3"/>
      <c r="B46" s="1598">
        <v>2020</v>
      </c>
      <c r="C46" s="1599"/>
      <c r="D46" s="718">
        <v>10</v>
      </c>
      <c r="E46" s="798">
        <f t="shared" si="1"/>
        <v>0.64460891621779726</v>
      </c>
      <c r="F46" s="3"/>
      <c r="G46" s="3"/>
      <c r="H46" s="3"/>
      <c r="I46" s="3"/>
      <c r="J46" s="3"/>
      <c r="K46" s="3"/>
      <c r="L46" s="3"/>
      <c r="M46" s="3"/>
      <c r="N46" s="3"/>
      <c r="O46" s="3"/>
      <c r="P46" s="3"/>
      <c r="Q46" s="3"/>
      <c r="R46" s="3"/>
      <c r="S46" s="3"/>
      <c r="T46" s="3"/>
      <c r="U46" s="3"/>
      <c r="V46" s="3"/>
      <c r="W46" s="3"/>
      <c r="X46" s="3"/>
      <c r="Y46" s="3"/>
      <c r="Z46" s="3"/>
    </row>
    <row r="47" spans="1:26" ht="15" customHeight="1" x14ac:dyDescent="0.3">
      <c r="A47" s="3"/>
      <c r="B47" s="1594">
        <v>2021</v>
      </c>
      <c r="C47" s="1595"/>
      <c r="D47" s="717">
        <v>11</v>
      </c>
      <c r="E47" s="747">
        <f t="shared" si="1"/>
        <v>0.61391325354075932</v>
      </c>
      <c r="F47" s="3"/>
      <c r="G47" s="3"/>
      <c r="H47" s="3"/>
      <c r="I47" s="3"/>
      <c r="J47" s="3"/>
      <c r="K47" s="3"/>
      <c r="L47" s="3"/>
      <c r="M47" s="3"/>
      <c r="N47" s="3"/>
      <c r="O47" s="3"/>
      <c r="P47" s="3"/>
      <c r="Q47" s="3"/>
      <c r="R47" s="3"/>
      <c r="S47" s="3"/>
      <c r="T47" s="3"/>
      <c r="U47" s="3"/>
      <c r="V47" s="3"/>
      <c r="W47" s="3"/>
      <c r="X47" s="3"/>
      <c r="Y47" s="3"/>
      <c r="Z47" s="3"/>
    </row>
    <row r="48" spans="1:26" ht="15" customHeight="1" x14ac:dyDescent="0.3">
      <c r="A48" s="3"/>
      <c r="B48" s="1594">
        <v>2022</v>
      </c>
      <c r="C48" s="1595"/>
      <c r="D48" s="717">
        <v>12</v>
      </c>
      <c r="E48" s="747">
        <f t="shared" si="1"/>
        <v>0.5846792890864374</v>
      </c>
      <c r="F48" s="3"/>
      <c r="G48" s="3"/>
      <c r="H48" s="3"/>
      <c r="I48" s="3"/>
      <c r="J48" s="3"/>
      <c r="K48" s="3"/>
      <c r="L48" s="3"/>
      <c r="M48" s="3"/>
      <c r="N48" s="3"/>
      <c r="O48" s="3"/>
      <c r="P48" s="3"/>
      <c r="Q48" s="3"/>
      <c r="R48" s="3"/>
      <c r="S48" s="3"/>
      <c r="T48" s="3"/>
      <c r="U48" s="3"/>
      <c r="V48" s="3"/>
      <c r="W48" s="3"/>
      <c r="X48" s="3"/>
      <c r="Y48" s="3"/>
      <c r="Z48" s="3"/>
    </row>
    <row r="49" spans="1:26" ht="15" customHeight="1" x14ac:dyDescent="0.3">
      <c r="A49" s="3"/>
      <c r="B49" s="1594">
        <v>2023</v>
      </c>
      <c r="C49" s="1595"/>
      <c r="D49" s="717">
        <v>13</v>
      </c>
      <c r="E49" s="747">
        <f t="shared" si="1"/>
        <v>0.5568374181775595</v>
      </c>
      <c r="F49" s="3"/>
      <c r="G49" s="3"/>
      <c r="H49" s="3"/>
      <c r="I49" s="3"/>
      <c r="J49" s="3"/>
      <c r="K49" s="3"/>
      <c r="L49" s="3"/>
      <c r="M49" s="3"/>
      <c r="N49" s="3"/>
      <c r="O49" s="3"/>
      <c r="P49" s="3"/>
      <c r="Q49" s="3"/>
      <c r="R49" s="3"/>
      <c r="S49" s="3"/>
      <c r="T49" s="3"/>
      <c r="U49" s="3"/>
      <c r="V49" s="3"/>
      <c r="W49" s="3"/>
      <c r="X49" s="3"/>
      <c r="Y49" s="3"/>
      <c r="Z49" s="3"/>
    </row>
    <row r="50" spans="1:26" ht="15" customHeight="1" x14ac:dyDescent="0.3">
      <c r="A50" s="3"/>
      <c r="B50" s="1594">
        <v>2024</v>
      </c>
      <c r="C50" s="1595"/>
      <c r="D50" s="717">
        <v>14</v>
      </c>
      <c r="E50" s="747">
        <f t="shared" si="1"/>
        <v>0.53032135064529462</v>
      </c>
      <c r="F50" s="3"/>
      <c r="G50" s="3"/>
      <c r="H50" s="3"/>
      <c r="I50" s="3"/>
      <c r="J50" s="3"/>
      <c r="K50" s="3"/>
      <c r="L50" s="3"/>
      <c r="M50" s="3"/>
      <c r="N50" s="3"/>
      <c r="O50" s="3"/>
      <c r="P50" s="3"/>
      <c r="Q50" s="3"/>
      <c r="R50" s="3"/>
      <c r="S50" s="3"/>
      <c r="T50" s="3"/>
      <c r="U50" s="3"/>
      <c r="V50" s="3"/>
      <c r="W50" s="3"/>
      <c r="X50" s="3"/>
      <c r="Y50" s="3"/>
      <c r="Z50" s="3"/>
    </row>
    <row r="51" spans="1:26" ht="15" customHeight="1" x14ac:dyDescent="0.3">
      <c r="A51" s="3"/>
      <c r="B51" s="1594">
        <v>2025</v>
      </c>
      <c r="C51" s="1595"/>
      <c r="D51" s="717">
        <v>15</v>
      </c>
      <c r="E51" s="747">
        <f t="shared" si="1"/>
        <v>0.50506795299551888</v>
      </c>
      <c r="F51" s="3"/>
      <c r="G51" s="3"/>
      <c r="H51" s="3"/>
      <c r="I51" s="3"/>
      <c r="J51" s="3"/>
      <c r="K51" s="3"/>
      <c r="L51" s="3"/>
      <c r="M51" s="3"/>
      <c r="N51" s="3"/>
      <c r="O51" s="3"/>
      <c r="P51" s="3"/>
      <c r="Q51" s="3"/>
      <c r="R51" s="3"/>
      <c r="S51" s="3"/>
      <c r="T51" s="3"/>
      <c r="U51" s="3"/>
      <c r="V51" s="3"/>
      <c r="W51" s="3"/>
      <c r="X51" s="3"/>
      <c r="Y51" s="3"/>
      <c r="Z51" s="3"/>
    </row>
    <row r="52" spans="1:26" ht="15" customHeight="1" x14ac:dyDescent="0.3">
      <c r="A52" s="3"/>
      <c r="B52" s="1594">
        <v>2026</v>
      </c>
      <c r="C52" s="1595"/>
      <c r="D52" s="717">
        <v>16</v>
      </c>
      <c r="E52" s="747">
        <f t="shared" si="1"/>
        <v>0.48101709809097021</v>
      </c>
      <c r="F52" s="3"/>
      <c r="G52" s="3"/>
      <c r="H52" s="3"/>
      <c r="I52" s="3"/>
      <c r="J52" s="3"/>
      <c r="K52" s="3"/>
      <c r="L52" s="3"/>
      <c r="M52" s="3"/>
      <c r="N52" s="3"/>
      <c r="O52" s="3"/>
      <c r="P52" s="3"/>
      <c r="Q52" s="3"/>
      <c r="R52" s="3"/>
      <c r="S52" s="3"/>
      <c r="T52" s="3"/>
      <c r="U52" s="3"/>
      <c r="V52" s="3"/>
      <c r="W52" s="3"/>
      <c r="X52" s="3"/>
      <c r="Y52" s="3"/>
      <c r="Z52" s="3"/>
    </row>
    <row r="53" spans="1:26" ht="15" customHeight="1" x14ac:dyDescent="0.3">
      <c r="A53" s="3"/>
      <c r="B53" s="1594">
        <v>2027</v>
      </c>
      <c r="C53" s="1595"/>
      <c r="D53" s="717">
        <v>17</v>
      </c>
      <c r="E53" s="747">
        <f t="shared" si="1"/>
        <v>0.45811152199140021</v>
      </c>
      <c r="F53" s="3"/>
      <c r="G53" s="3"/>
      <c r="H53" s="3"/>
      <c r="I53" s="3"/>
      <c r="J53" s="3"/>
      <c r="K53" s="3"/>
      <c r="L53" s="3"/>
      <c r="M53" s="3"/>
      <c r="N53" s="3"/>
      <c r="O53" s="3"/>
      <c r="P53" s="3"/>
      <c r="Q53" s="3"/>
      <c r="R53" s="3"/>
      <c r="S53" s="3"/>
      <c r="T53" s="3"/>
      <c r="U53" s="3"/>
      <c r="V53" s="3"/>
      <c r="W53" s="3"/>
      <c r="X53" s="3"/>
      <c r="Y53" s="3"/>
      <c r="Z53" s="3"/>
    </row>
    <row r="54" spans="1:26" ht="15" customHeight="1" x14ac:dyDescent="0.3">
      <c r="A54" s="3"/>
      <c r="B54" s="1594">
        <v>2028</v>
      </c>
      <c r="C54" s="1595"/>
      <c r="D54" s="717">
        <v>18</v>
      </c>
      <c r="E54" s="747">
        <f t="shared" si="1"/>
        <v>0.43629668761085727</v>
      </c>
      <c r="F54" s="3"/>
      <c r="G54" s="3"/>
      <c r="H54" s="3"/>
      <c r="I54" s="3"/>
      <c r="J54" s="3"/>
      <c r="K54" s="3"/>
      <c r="L54" s="3"/>
      <c r="M54" s="3"/>
      <c r="N54" s="3"/>
      <c r="O54" s="3"/>
      <c r="P54" s="3"/>
      <c r="Q54" s="3"/>
      <c r="R54" s="3"/>
      <c r="S54" s="3"/>
      <c r="T54" s="3"/>
      <c r="U54" s="3"/>
      <c r="V54" s="3"/>
      <c r="W54" s="3"/>
      <c r="X54" s="3"/>
      <c r="Y54" s="3"/>
      <c r="Z54" s="3"/>
    </row>
    <row r="55" spans="1:26" ht="15" customHeight="1" thickBot="1" x14ac:dyDescent="0.35">
      <c r="A55" s="3"/>
      <c r="B55" s="1596">
        <v>2029</v>
      </c>
      <c r="C55" s="1597"/>
      <c r="D55" s="719">
        <v>19</v>
      </c>
      <c r="E55" s="748">
        <f t="shared" si="1"/>
        <v>0.41552065486748313</v>
      </c>
      <c r="F55" s="3"/>
      <c r="G55" s="3"/>
      <c r="H55" s="3"/>
      <c r="I55" s="3"/>
      <c r="J55" s="3"/>
      <c r="K55" s="3"/>
      <c r="L55" s="3"/>
      <c r="M55" s="3"/>
      <c r="N55" s="3"/>
      <c r="O55" s="3"/>
      <c r="P55" s="3"/>
      <c r="Q55" s="3"/>
      <c r="R55" s="3"/>
      <c r="S55" s="3"/>
      <c r="T55" s="3"/>
      <c r="U55" s="3"/>
      <c r="V55" s="3"/>
      <c r="W55" s="3"/>
      <c r="X55" s="3"/>
      <c r="Y55" s="3"/>
      <c r="Z55" s="3"/>
    </row>
    <row r="56" spans="1:26" ht="15" customHeight="1" x14ac:dyDescent="0.3">
      <c r="A56" s="3"/>
      <c r="B56" s="1598">
        <v>2020</v>
      </c>
      <c r="C56" s="1599"/>
      <c r="D56" s="718">
        <v>10</v>
      </c>
      <c r="E56" s="798">
        <f t="shared" si="1"/>
        <v>0.39573395701665059</v>
      </c>
      <c r="F56" s="3"/>
      <c r="G56" s="3"/>
      <c r="H56" s="3"/>
      <c r="I56" s="3"/>
      <c r="J56" s="3"/>
      <c r="K56" s="3"/>
      <c r="L56" s="3"/>
      <c r="M56" s="3"/>
      <c r="N56" s="3"/>
      <c r="O56" s="3"/>
      <c r="P56" s="3"/>
      <c r="Q56" s="3"/>
      <c r="R56" s="3"/>
      <c r="S56" s="3"/>
      <c r="T56" s="3"/>
      <c r="U56" s="3"/>
      <c r="V56" s="3"/>
      <c r="W56" s="3"/>
      <c r="X56" s="3"/>
      <c r="Y56" s="3"/>
      <c r="Z56" s="3"/>
    </row>
    <row r="57" spans="1:26" ht="15" customHeight="1" x14ac:dyDescent="0.3">
      <c r="A57" s="3"/>
      <c r="B57" s="1594">
        <v>2021</v>
      </c>
      <c r="C57" s="1595"/>
      <c r="D57" s="717">
        <v>11</v>
      </c>
      <c r="E57" s="747">
        <f t="shared" si="1"/>
        <v>0.61391325354075932</v>
      </c>
      <c r="F57" s="3"/>
      <c r="G57" s="3"/>
      <c r="H57" s="3"/>
      <c r="I57" s="3"/>
      <c r="J57" s="3"/>
      <c r="K57" s="3"/>
      <c r="L57" s="3"/>
      <c r="M57" s="3"/>
      <c r="N57" s="3"/>
      <c r="O57" s="3"/>
      <c r="P57" s="3"/>
      <c r="Q57" s="3"/>
      <c r="R57" s="3"/>
      <c r="S57" s="3"/>
      <c r="T57" s="3"/>
      <c r="U57" s="3"/>
      <c r="V57" s="3"/>
      <c r="W57" s="3"/>
      <c r="X57" s="3"/>
      <c r="Y57" s="3"/>
      <c r="Z57" s="3"/>
    </row>
    <row r="58" spans="1:26" ht="15" customHeight="1" x14ac:dyDescent="0.3">
      <c r="A58" s="3"/>
      <c r="B58" s="1594">
        <v>2022</v>
      </c>
      <c r="C58" s="1595"/>
      <c r="D58" s="717">
        <v>12</v>
      </c>
      <c r="E58" s="747">
        <f t="shared" si="1"/>
        <v>0.5846792890864374</v>
      </c>
      <c r="F58" s="3"/>
      <c r="G58" s="3"/>
      <c r="H58" s="3"/>
      <c r="I58" s="3"/>
      <c r="J58" s="3"/>
      <c r="K58" s="3"/>
      <c r="L58" s="3"/>
      <c r="M58" s="3"/>
      <c r="N58" s="3"/>
      <c r="O58" s="3"/>
      <c r="P58" s="3"/>
      <c r="Q58" s="3"/>
      <c r="R58" s="3"/>
      <c r="S58" s="3"/>
      <c r="T58" s="3"/>
      <c r="U58" s="3"/>
      <c r="V58" s="3"/>
      <c r="W58" s="3"/>
      <c r="X58" s="3"/>
      <c r="Y58" s="3"/>
      <c r="Z58" s="3"/>
    </row>
    <row r="59" spans="1:26" ht="15" customHeight="1" x14ac:dyDescent="0.3">
      <c r="A59" s="3"/>
      <c r="B59" s="1594">
        <v>2023</v>
      </c>
      <c r="C59" s="1595"/>
      <c r="D59" s="717">
        <v>13</v>
      </c>
      <c r="E59" s="747">
        <f t="shared" si="1"/>
        <v>0.5568374181775595</v>
      </c>
      <c r="F59" s="3"/>
      <c r="G59" s="3"/>
      <c r="H59" s="3"/>
      <c r="I59" s="3"/>
      <c r="J59" s="3"/>
      <c r="K59" s="3"/>
      <c r="L59" s="3"/>
      <c r="M59" s="3"/>
      <c r="N59" s="3"/>
      <c r="O59" s="3"/>
      <c r="P59" s="3"/>
      <c r="Q59" s="3"/>
      <c r="R59" s="3"/>
      <c r="S59" s="3"/>
      <c r="T59" s="3"/>
      <c r="U59" s="3"/>
      <c r="V59" s="3"/>
      <c r="W59" s="3"/>
      <c r="X59" s="3"/>
      <c r="Y59" s="3"/>
      <c r="Z59" s="3"/>
    </row>
    <row r="60" spans="1:26" ht="15" customHeight="1" x14ac:dyDescent="0.3">
      <c r="A60" s="3"/>
      <c r="B60" s="1594">
        <v>2024</v>
      </c>
      <c r="C60" s="1595"/>
      <c r="D60" s="717">
        <v>14</v>
      </c>
      <c r="E60" s="747">
        <f t="shared" si="1"/>
        <v>0.53032135064529462</v>
      </c>
      <c r="F60" s="3"/>
      <c r="G60" s="3"/>
      <c r="H60" s="3"/>
      <c r="I60" s="3"/>
      <c r="J60" s="3"/>
      <c r="K60" s="3"/>
      <c r="L60" s="3"/>
      <c r="M60" s="3"/>
      <c r="N60" s="3"/>
      <c r="O60" s="3"/>
      <c r="P60" s="3"/>
      <c r="Q60" s="3"/>
      <c r="R60" s="3"/>
      <c r="S60" s="3"/>
      <c r="T60" s="3"/>
      <c r="U60" s="3"/>
      <c r="V60" s="3"/>
      <c r="W60" s="3"/>
      <c r="X60" s="3"/>
      <c r="Y60" s="3"/>
      <c r="Z60" s="3"/>
    </row>
    <row r="61" spans="1:26" ht="15" customHeight="1" x14ac:dyDescent="0.3">
      <c r="A61" s="3"/>
      <c r="B61" s="1594">
        <v>2025</v>
      </c>
      <c r="C61" s="1595"/>
      <c r="D61" s="717">
        <v>15</v>
      </c>
      <c r="E61" s="747">
        <f t="shared" si="1"/>
        <v>0.50506795299551888</v>
      </c>
      <c r="F61" s="3"/>
      <c r="G61" s="3"/>
      <c r="H61" s="3"/>
      <c r="I61" s="3"/>
      <c r="J61" s="3"/>
      <c r="K61" s="3"/>
      <c r="L61" s="3"/>
      <c r="M61" s="3"/>
      <c r="N61" s="3"/>
      <c r="O61" s="3"/>
      <c r="P61" s="3"/>
      <c r="Q61" s="3"/>
      <c r="R61" s="3"/>
      <c r="S61" s="3"/>
      <c r="T61" s="3"/>
      <c r="U61" s="3"/>
      <c r="V61" s="3"/>
      <c r="W61" s="3"/>
      <c r="X61" s="3"/>
      <c r="Y61" s="3"/>
      <c r="Z61" s="3"/>
    </row>
    <row r="62" spans="1:26" ht="15" customHeight="1" x14ac:dyDescent="0.3">
      <c r="A62" s="3"/>
      <c r="B62" s="1594">
        <v>2026</v>
      </c>
      <c r="C62" s="1595"/>
      <c r="D62" s="717">
        <v>16</v>
      </c>
      <c r="E62" s="747">
        <f t="shared" si="1"/>
        <v>0.48101709809097021</v>
      </c>
      <c r="F62" s="3"/>
      <c r="G62" s="3"/>
      <c r="H62" s="3"/>
      <c r="I62" s="3"/>
      <c r="J62" s="3"/>
      <c r="K62" s="3"/>
      <c r="L62" s="3"/>
      <c r="M62" s="3"/>
      <c r="N62" s="3"/>
      <c r="O62" s="3"/>
      <c r="P62" s="3"/>
      <c r="Q62" s="3"/>
      <c r="R62" s="3"/>
      <c r="S62" s="3"/>
      <c r="T62" s="3"/>
      <c r="U62" s="3"/>
      <c r="V62" s="3"/>
      <c r="W62" s="3"/>
      <c r="X62" s="3"/>
      <c r="Y62" s="3"/>
      <c r="Z62" s="3"/>
    </row>
    <row r="63" spans="1:26" ht="15" customHeight="1" x14ac:dyDescent="0.3">
      <c r="A63" s="3"/>
      <c r="B63" s="1600">
        <v>2027</v>
      </c>
      <c r="C63" s="1601"/>
      <c r="D63" s="436">
        <v>17</v>
      </c>
      <c r="E63" s="797">
        <f t="shared" si="1"/>
        <v>0.45811152199140021</v>
      </c>
      <c r="F63" s="3"/>
      <c r="G63" s="3"/>
      <c r="H63" s="3"/>
      <c r="I63" s="3"/>
      <c r="J63" s="3"/>
      <c r="K63" s="3"/>
      <c r="L63" s="3"/>
      <c r="M63" s="3"/>
      <c r="N63" s="3"/>
      <c r="O63" s="3"/>
      <c r="P63" s="3"/>
      <c r="Q63" s="3"/>
      <c r="R63" s="3"/>
      <c r="S63" s="3"/>
      <c r="T63" s="3"/>
      <c r="U63" s="3"/>
      <c r="V63" s="3"/>
      <c r="W63" s="3"/>
      <c r="X63" s="3"/>
      <c r="Y63" s="3"/>
      <c r="Z63" s="3"/>
    </row>
    <row r="64" spans="1:26" ht="15" customHeight="1" x14ac:dyDescent="0.3">
      <c r="A64" s="887"/>
      <c r="B64" s="1594">
        <v>2028</v>
      </c>
      <c r="C64" s="1595"/>
      <c r="D64" s="717">
        <v>18</v>
      </c>
      <c r="E64" s="747">
        <f t="shared" si="1"/>
        <v>0.43629668761085727</v>
      </c>
      <c r="F64" s="888"/>
      <c r="G64" s="15"/>
      <c r="H64" s="15"/>
      <c r="I64" s="15"/>
      <c r="J64" s="15"/>
      <c r="K64" s="15"/>
      <c r="L64" s="15"/>
      <c r="M64" s="15"/>
      <c r="N64" s="15"/>
      <c r="O64" s="15"/>
      <c r="P64" s="15"/>
      <c r="Q64" s="15"/>
      <c r="R64" s="15"/>
      <c r="S64" s="15"/>
      <c r="T64" s="15"/>
      <c r="U64" s="15"/>
      <c r="V64" s="15"/>
      <c r="W64" s="15"/>
      <c r="X64" s="15"/>
      <c r="Y64" s="15"/>
      <c r="Z64" s="15"/>
    </row>
    <row r="65" spans="1:26" ht="15" customHeight="1" thickBot="1" x14ac:dyDescent="0.35">
      <c r="A65" s="1"/>
      <c r="B65" s="1596">
        <v>2029</v>
      </c>
      <c r="C65" s="1597"/>
      <c r="D65" s="872">
        <v>19</v>
      </c>
      <c r="E65" s="748">
        <f t="shared" si="1"/>
        <v>0.41552065486748313</v>
      </c>
      <c r="F65" s="1"/>
      <c r="G65" s="1"/>
      <c r="H65" s="1"/>
      <c r="I65" s="1"/>
      <c r="J65" s="1"/>
      <c r="K65" s="1"/>
      <c r="L65" s="1"/>
      <c r="M65" s="1"/>
      <c r="N65" s="1"/>
      <c r="O65" s="1"/>
      <c r="P65" s="1"/>
      <c r="Q65" s="1"/>
      <c r="R65" s="1"/>
      <c r="S65" s="1"/>
      <c r="T65" s="1"/>
      <c r="U65" s="1"/>
      <c r="V65" s="1"/>
      <c r="W65" s="1"/>
      <c r="X65" s="1"/>
      <c r="Y65" s="1"/>
      <c r="Z65" s="1"/>
    </row>
    <row r="66" spans="1:26" ht="15" customHeight="1" x14ac:dyDescent="0.3">
      <c r="A66" s="3"/>
      <c r="B66" s="1598">
        <v>2020</v>
      </c>
      <c r="C66" s="1599"/>
      <c r="D66" s="718">
        <v>10</v>
      </c>
      <c r="E66" s="798">
        <f t="shared" si="1"/>
        <v>0.39573395701665059</v>
      </c>
      <c r="F66" s="3"/>
      <c r="G66" s="3"/>
      <c r="H66" s="3"/>
      <c r="I66" s="3"/>
      <c r="J66" s="3"/>
      <c r="K66" s="3"/>
      <c r="L66" s="3"/>
      <c r="M66" s="3"/>
      <c r="N66" s="3"/>
      <c r="O66" s="3"/>
      <c r="P66" s="3"/>
      <c r="Q66" s="3"/>
      <c r="R66" s="3"/>
      <c r="S66" s="3"/>
      <c r="T66" s="3"/>
      <c r="U66" s="3"/>
      <c r="V66" s="3"/>
      <c r="W66" s="3"/>
      <c r="X66" s="3"/>
      <c r="Y66" s="3"/>
      <c r="Z66" s="3"/>
    </row>
    <row r="67" spans="1:26" ht="15" customHeight="1" x14ac:dyDescent="0.3">
      <c r="A67" s="3"/>
      <c r="B67" s="1594">
        <v>2021</v>
      </c>
      <c r="C67" s="1595"/>
      <c r="D67" s="717">
        <v>11</v>
      </c>
      <c r="E67" s="747">
        <f t="shared" si="1"/>
        <v>0.61391325354075932</v>
      </c>
      <c r="F67" s="3"/>
      <c r="G67" s="3"/>
      <c r="H67" s="3"/>
      <c r="I67" s="3"/>
      <c r="J67" s="3"/>
      <c r="K67" s="3"/>
      <c r="L67" s="3"/>
      <c r="M67" s="3"/>
      <c r="N67" s="3"/>
      <c r="O67" s="3"/>
      <c r="P67" s="3"/>
      <c r="Q67" s="3"/>
      <c r="R67" s="3"/>
      <c r="S67" s="3"/>
      <c r="T67" s="3"/>
      <c r="U67" s="3"/>
      <c r="V67" s="3"/>
      <c r="W67" s="3"/>
      <c r="X67" s="3"/>
      <c r="Y67" s="3"/>
      <c r="Z67" s="3"/>
    </row>
    <row r="68" spans="1:26" ht="15" customHeight="1" x14ac:dyDescent="0.3">
      <c r="A68" s="3"/>
      <c r="B68" s="1594">
        <v>2022</v>
      </c>
      <c r="C68" s="1595"/>
      <c r="D68" s="717">
        <v>12</v>
      </c>
      <c r="E68" s="747">
        <f t="shared" si="1"/>
        <v>0.5846792890864374</v>
      </c>
      <c r="F68" s="3"/>
      <c r="G68" s="3"/>
      <c r="H68" s="3"/>
      <c r="I68" s="3"/>
      <c r="J68" s="3"/>
      <c r="K68" s="3"/>
      <c r="L68" s="3"/>
      <c r="M68" s="3"/>
      <c r="N68" s="3"/>
      <c r="O68" s="3"/>
      <c r="P68" s="3"/>
      <c r="Q68" s="3"/>
      <c r="R68" s="3"/>
      <c r="S68" s="3"/>
      <c r="T68" s="3"/>
      <c r="U68" s="3"/>
      <c r="V68" s="3"/>
      <c r="W68" s="3"/>
      <c r="X68" s="3"/>
      <c r="Y68" s="3"/>
      <c r="Z68" s="3"/>
    </row>
    <row r="69" spans="1:26" ht="15" customHeight="1" x14ac:dyDescent="0.3">
      <c r="A69" s="3"/>
      <c r="B69" s="1594">
        <v>2023</v>
      </c>
      <c r="C69" s="1595"/>
      <c r="D69" s="717">
        <v>13</v>
      </c>
      <c r="E69" s="747">
        <f t="shared" si="1"/>
        <v>0.5568374181775595</v>
      </c>
      <c r="F69" s="3"/>
      <c r="G69" s="3"/>
      <c r="H69" s="3"/>
      <c r="I69" s="3"/>
      <c r="J69" s="3"/>
      <c r="K69" s="3"/>
      <c r="L69" s="3"/>
      <c r="M69" s="3"/>
      <c r="N69" s="3"/>
      <c r="O69" s="3"/>
      <c r="P69" s="3"/>
      <c r="Q69" s="3"/>
      <c r="R69" s="3"/>
      <c r="S69" s="3"/>
      <c r="T69" s="3"/>
      <c r="U69" s="3"/>
      <c r="V69" s="3"/>
      <c r="W69" s="3"/>
      <c r="X69" s="3"/>
      <c r="Y69" s="3"/>
      <c r="Z69" s="3"/>
    </row>
    <row r="70" spans="1:26" ht="15" customHeight="1" x14ac:dyDescent="0.3">
      <c r="A70" s="3"/>
      <c r="B70" s="1594">
        <v>2024</v>
      </c>
      <c r="C70" s="1595"/>
      <c r="D70" s="717">
        <v>14</v>
      </c>
      <c r="E70" s="747">
        <f t="shared" si="1"/>
        <v>0.53032135064529462</v>
      </c>
      <c r="F70" s="3"/>
      <c r="G70" s="3"/>
      <c r="H70" s="3"/>
      <c r="I70" s="3"/>
      <c r="J70" s="3"/>
      <c r="K70" s="3"/>
      <c r="L70" s="3"/>
      <c r="M70" s="3"/>
      <c r="N70" s="3"/>
      <c r="O70" s="3"/>
      <c r="P70" s="3"/>
      <c r="Q70" s="3"/>
      <c r="R70" s="3"/>
      <c r="S70" s="3"/>
      <c r="T70" s="3"/>
      <c r="U70" s="3"/>
      <c r="V70" s="3"/>
      <c r="W70" s="3"/>
      <c r="X70" s="3"/>
      <c r="Y70" s="3"/>
      <c r="Z70" s="3"/>
    </row>
    <row r="71" spans="1:26" ht="15" customHeight="1" x14ac:dyDescent="0.3">
      <c r="A71" s="3"/>
      <c r="B71" s="1594">
        <v>2025</v>
      </c>
      <c r="C71" s="1595"/>
      <c r="D71" s="717">
        <v>15</v>
      </c>
      <c r="E71" s="747">
        <f t="shared" si="1"/>
        <v>0.50506795299551888</v>
      </c>
      <c r="F71" s="3"/>
      <c r="G71" s="3"/>
      <c r="H71" s="3"/>
      <c r="I71" s="3"/>
      <c r="J71" s="3"/>
      <c r="K71" s="3"/>
      <c r="L71" s="3"/>
      <c r="M71" s="3"/>
      <c r="N71" s="3"/>
      <c r="O71" s="3"/>
      <c r="P71" s="3"/>
      <c r="Q71" s="3"/>
      <c r="R71" s="3"/>
      <c r="S71" s="3"/>
      <c r="T71" s="3"/>
      <c r="U71" s="3"/>
      <c r="V71" s="3"/>
      <c r="W71" s="3"/>
      <c r="X71" s="3"/>
      <c r="Y71" s="3"/>
      <c r="Z71" s="3"/>
    </row>
    <row r="72" spans="1:26" ht="15" customHeight="1" x14ac:dyDescent="0.3">
      <c r="A72" s="3"/>
      <c r="B72" s="1594">
        <v>2026</v>
      </c>
      <c r="C72" s="1595"/>
      <c r="D72" s="717">
        <v>16</v>
      </c>
      <c r="E72" s="747">
        <f t="shared" si="1"/>
        <v>0.48101709809097021</v>
      </c>
      <c r="F72" s="3"/>
      <c r="G72" s="3"/>
      <c r="H72" s="3"/>
      <c r="I72" s="3"/>
      <c r="J72" s="3"/>
      <c r="K72" s="3"/>
      <c r="L72" s="3"/>
      <c r="M72" s="3"/>
      <c r="N72" s="3"/>
      <c r="O72" s="3"/>
      <c r="P72" s="3"/>
      <c r="Q72" s="3"/>
      <c r="R72" s="3"/>
      <c r="S72" s="3"/>
      <c r="T72" s="3"/>
      <c r="U72" s="3"/>
      <c r="V72" s="3"/>
      <c r="W72" s="3"/>
      <c r="X72" s="3"/>
      <c r="Y72" s="3"/>
      <c r="Z72" s="3"/>
    </row>
    <row r="73" spans="1:26" ht="15" customHeight="1" x14ac:dyDescent="0.3">
      <c r="A73" s="3"/>
      <c r="B73" s="1594">
        <v>2027</v>
      </c>
      <c r="C73" s="1595"/>
      <c r="D73" s="717">
        <v>17</v>
      </c>
      <c r="E73" s="747">
        <f t="shared" si="1"/>
        <v>0.45811152199140021</v>
      </c>
      <c r="F73" s="3"/>
      <c r="G73" s="3"/>
      <c r="H73" s="3"/>
      <c r="I73" s="3"/>
      <c r="J73" s="3"/>
      <c r="K73" s="3"/>
      <c r="L73" s="3"/>
      <c r="M73" s="3"/>
      <c r="N73" s="3"/>
      <c r="O73" s="3"/>
      <c r="P73" s="3"/>
      <c r="Q73" s="3"/>
      <c r="R73" s="3"/>
      <c r="S73" s="3"/>
      <c r="T73" s="3"/>
      <c r="U73" s="3"/>
      <c r="V73" s="3"/>
      <c r="W73" s="3"/>
      <c r="X73" s="3"/>
      <c r="Y73" s="3"/>
      <c r="Z73" s="3"/>
    </row>
    <row r="74" spans="1:26" ht="15" customHeight="1" x14ac:dyDescent="0.3">
      <c r="A74" s="3"/>
      <c r="B74" s="1594">
        <v>2028</v>
      </c>
      <c r="C74" s="1595"/>
      <c r="D74" s="717">
        <v>18</v>
      </c>
      <c r="E74" s="747">
        <f t="shared" si="1"/>
        <v>0.43629668761085727</v>
      </c>
      <c r="F74" s="3"/>
      <c r="G74" s="3"/>
      <c r="H74" s="3"/>
      <c r="I74" s="3"/>
      <c r="J74" s="3"/>
      <c r="K74" s="3"/>
      <c r="L74" s="3"/>
      <c r="M74" s="3"/>
      <c r="N74" s="3"/>
      <c r="O74" s="3"/>
      <c r="P74" s="3"/>
      <c r="Q74" s="3"/>
      <c r="R74" s="3"/>
      <c r="S74" s="3"/>
      <c r="T74" s="3"/>
      <c r="U74" s="3"/>
      <c r="V74" s="3"/>
      <c r="W74" s="3"/>
      <c r="X74" s="3"/>
      <c r="Y74" s="3"/>
      <c r="Z74" s="3"/>
    </row>
    <row r="75" spans="1:26" ht="15" customHeight="1" thickBot="1" x14ac:dyDescent="0.35">
      <c r="A75" s="3"/>
      <c r="B75" s="1596">
        <v>2029</v>
      </c>
      <c r="C75" s="1597"/>
      <c r="D75" s="719">
        <v>19</v>
      </c>
      <c r="E75" s="748">
        <f t="shared" si="1"/>
        <v>0.41552065486748313</v>
      </c>
      <c r="F75" s="3"/>
      <c r="G75" s="3"/>
      <c r="H75" s="3"/>
      <c r="I75" s="3"/>
      <c r="J75" s="3"/>
      <c r="K75" s="3"/>
      <c r="L75" s="3"/>
      <c r="M75" s="3"/>
      <c r="N75" s="3"/>
      <c r="O75" s="3"/>
      <c r="P75" s="3"/>
      <c r="Q75" s="3"/>
      <c r="R75" s="3"/>
      <c r="S75" s="3"/>
      <c r="T75" s="3"/>
      <c r="U75" s="3"/>
      <c r="V75" s="3"/>
      <c r="W75" s="3"/>
      <c r="X75" s="3"/>
      <c r="Y75" s="3"/>
      <c r="Z75" s="3"/>
    </row>
    <row r="76" spans="1:26" ht="1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 customHeight="1"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sheetData>
  <mergeCells count="74">
    <mergeCell ref="Q36:R36"/>
    <mergeCell ref="L39:M39"/>
    <mergeCell ref="L40:M40"/>
    <mergeCell ref="L41:M41"/>
    <mergeCell ref="L42:M42"/>
    <mergeCell ref="L36:M36"/>
    <mergeCell ref="L37:M37"/>
    <mergeCell ref="L45:M45"/>
    <mergeCell ref="G39:H39"/>
    <mergeCell ref="L43:M43"/>
    <mergeCell ref="L44:M44"/>
    <mergeCell ref="G36:H36"/>
    <mergeCell ref="B40:C40"/>
    <mergeCell ref="B41:C41"/>
    <mergeCell ref="B42:C42"/>
    <mergeCell ref="G44:H44"/>
    <mergeCell ref="G45:H45"/>
    <mergeCell ref="B36:C36"/>
    <mergeCell ref="B37:C37"/>
    <mergeCell ref="B38:C38"/>
    <mergeCell ref="G35:H35"/>
    <mergeCell ref="B39:C39"/>
    <mergeCell ref="L35:M35"/>
    <mergeCell ref="Q35:R35"/>
    <mergeCell ref="B46:C46"/>
    <mergeCell ref="B47:C47"/>
    <mergeCell ref="B43:C43"/>
    <mergeCell ref="B44:C44"/>
    <mergeCell ref="B45:C45"/>
    <mergeCell ref="L38:M38"/>
    <mergeCell ref="G37:H37"/>
    <mergeCell ref="G38:H38"/>
    <mergeCell ref="G40:H40"/>
    <mergeCell ref="G41:H41"/>
    <mergeCell ref="G42:H42"/>
    <mergeCell ref="G43:H43"/>
    <mergeCell ref="Q37:R37"/>
    <mergeCell ref="B35:C35"/>
    <mergeCell ref="B48:C48"/>
    <mergeCell ref="B49:C49"/>
    <mergeCell ref="B50:C50"/>
    <mergeCell ref="B51:C51"/>
    <mergeCell ref="B52:C52"/>
    <mergeCell ref="B53:C53"/>
    <mergeCell ref="B54:C54"/>
    <mergeCell ref="B55:C55"/>
    <mergeCell ref="B56:C56"/>
    <mergeCell ref="B57:C57"/>
    <mergeCell ref="B63:C63"/>
    <mergeCell ref="B64:C64"/>
    <mergeCell ref="B65:C65"/>
    <mergeCell ref="Q38:R38"/>
    <mergeCell ref="Q39:R39"/>
    <mergeCell ref="Q40:R40"/>
    <mergeCell ref="Q41:R41"/>
    <mergeCell ref="Q42:R42"/>
    <mergeCell ref="Q43:R43"/>
    <mergeCell ref="Q44:R44"/>
    <mergeCell ref="Q45:R45"/>
    <mergeCell ref="B58:C58"/>
    <mergeCell ref="B59:C59"/>
    <mergeCell ref="B60:C60"/>
    <mergeCell ref="B61:C61"/>
    <mergeCell ref="B62:C62"/>
    <mergeCell ref="B66:C66"/>
    <mergeCell ref="B67:C67"/>
    <mergeCell ref="B68:C68"/>
    <mergeCell ref="B69:C69"/>
    <mergeCell ref="B70:C70"/>
    <mergeCell ref="B71:C71"/>
    <mergeCell ref="B72:C72"/>
    <mergeCell ref="B73:C73"/>
    <mergeCell ref="B74:C74"/>
    <mergeCell ref="B75:C75"/>
  </mergeCells>
  <dataValidations disablePrompts="1" count="4">
    <dataValidation allowBlank="1" showInputMessage="1" showErrorMessage="1" prompt="53.347901" sqref="JO65500 TK65500 ADG65500 ANC65500 AWY65500 BGU65500 BQQ65500 CAM65500 CKI65500 CUE65500 DEA65500 DNW65500 DXS65500 EHO65500 ERK65500 FBG65500 FLC65500 FUY65500 GEU65500 GOQ65500 GYM65500 HII65500 HSE65500 ICA65500 ILW65500 IVS65500 JFO65500 JPK65500 JZG65500 KJC65500 KSY65500 LCU65500 LMQ65500 LWM65500 MGI65500 MQE65500 NAA65500 NJW65500 NTS65500 ODO65500 ONK65500 OXG65500 PHC65500 PQY65500 QAU65500 QKQ65500 QUM65500 REI65500 ROE65500 RYA65500 SHW65500 SRS65500 TBO65500 TLK65500 TVG65500 UFC65500 UOY65500 UYU65500 VIQ65500 VSM65500 WCI65500 WME65500 WWA65500 JO131036 TK131036 ADG131036 ANC131036 AWY131036 BGU131036 BQQ131036 CAM131036 CKI131036 CUE131036 DEA131036 DNW131036 DXS131036 EHO131036 ERK131036 FBG131036 FLC131036 FUY131036 GEU131036 GOQ131036 GYM131036 HII131036 HSE131036 ICA131036 ILW131036 IVS131036 JFO131036 JPK131036 JZG131036 KJC131036 KSY131036 LCU131036 LMQ131036 LWM131036 MGI131036 MQE131036 NAA131036 NJW131036 NTS131036 ODO131036 ONK131036 OXG131036 PHC131036 PQY131036 QAU131036 QKQ131036 QUM131036 REI131036 ROE131036 RYA131036 SHW131036 SRS131036 TBO131036 TLK131036 TVG131036 UFC131036 UOY131036 UYU131036 VIQ131036 VSM131036 WCI131036 WME131036 WWA131036 JO196572 TK196572 ADG196572 ANC196572 AWY196572 BGU196572 BQQ196572 CAM196572 CKI196572 CUE196572 DEA196572 DNW196572 DXS196572 EHO196572 ERK196572 FBG196572 FLC196572 FUY196572 GEU196572 GOQ196572 GYM196572 HII196572 HSE196572 ICA196572 ILW196572 IVS196572 JFO196572 JPK196572 JZG196572 KJC196572 KSY196572 LCU196572 LMQ196572 LWM196572 MGI196572 MQE196572 NAA196572 NJW196572 NTS196572 ODO196572 ONK196572 OXG196572 PHC196572 PQY196572 QAU196572 QKQ196572 QUM196572 REI196572 ROE196572 RYA196572 SHW196572 SRS196572 TBO196572 TLK196572 TVG196572 UFC196572 UOY196572 UYU196572 VIQ196572 VSM196572 WCI196572 WME196572 WWA196572 JO262108 TK262108 ADG262108 ANC262108 AWY262108 BGU262108 BQQ262108 CAM262108 CKI262108 CUE262108 DEA262108 DNW262108 DXS262108 EHO262108 ERK262108 FBG262108 FLC262108 FUY262108 GEU262108 GOQ262108 GYM262108 HII262108 HSE262108 ICA262108 ILW262108 IVS262108 JFO262108 JPK262108 JZG262108 KJC262108 KSY262108 LCU262108 LMQ262108 LWM262108 MGI262108 MQE262108 NAA262108 NJW262108 NTS262108 ODO262108 ONK262108 OXG262108 PHC262108 PQY262108 QAU262108 QKQ262108 QUM262108 REI262108 ROE262108 RYA262108 SHW262108 SRS262108 TBO262108 TLK262108 TVG262108 UFC262108 UOY262108 UYU262108 VIQ262108 VSM262108 WCI262108 WME262108 WWA262108 JO327644 TK327644 ADG327644 ANC327644 AWY327644 BGU327644 BQQ327644 CAM327644 CKI327644 CUE327644 DEA327644 DNW327644 DXS327644 EHO327644 ERK327644 FBG327644 FLC327644 FUY327644 GEU327644 GOQ327644 GYM327644 HII327644 HSE327644 ICA327644 ILW327644 IVS327644 JFO327644 JPK327644 JZG327644 KJC327644 KSY327644 LCU327644 LMQ327644 LWM327644 MGI327644 MQE327644 NAA327644 NJW327644 NTS327644 ODO327644 ONK327644 OXG327644 PHC327644 PQY327644 QAU327644 QKQ327644 QUM327644 REI327644 ROE327644 RYA327644 SHW327644 SRS327644 TBO327644 TLK327644 TVG327644 UFC327644 UOY327644 UYU327644 VIQ327644 VSM327644 WCI327644 WME327644 WWA327644 JO393180 TK393180 ADG393180 ANC393180 AWY393180 BGU393180 BQQ393180 CAM393180 CKI393180 CUE393180 DEA393180 DNW393180 DXS393180 EHO393180 ERK393180 FBG393180 FLC393180 FUY393180 GEU393180 GOQ393180 GYM393180 HII393180 HSE393180 ICA393180 ILW393180 IVS393180 JFO393180 JPK393180 JZG393180 KJC393180 KSY393180 LCU393180 LMQ393180 LWM393180 MGI393180 MQE393180 NAA393180 NJW393180 NTS393180 ODO393180 ONK393180 OXG393180 PHC393180 PQY393180 QAU393180 QKQ393180 QUM393180 REI393180 ROE393180 RYA393180 SHW393180 SRS393180 TBO393180 TLK393180 TVG393180 UFC393180 UOY393180 UYU393180 VIQ393180 VSM393180 WCI393180 WME393180 WWA393180 JO458716 TK458716 ADG458716 ANC458716 AWY458716 BGU458716 BQQ458716 CAM458716 CKI458716 CUE458716 DEA458716 DNW458716 DXS458716 EHO458716 ERK458716 FBG458716 FLC458716 FUY458716 GEU458716 GOQ458716 GYM458716 HII458716 HSE458716 ICA458716 ILW458716 IVS458716 JFO458716 JPK458716 JZG458716 KJC458716 KSY458716 LCU458716 LMQ458716 LWM458716 MGI458716 MQE458716 NAA458716 NJW458716 NTS458716 ODO458716 ONK458716 OXG458716 PHC458716 PQY458716 QAU458716 QKQ458716 QUM458716 REI458716 ROE458716 RYA458716 SHW458716 SRS458716 TBO458716 TLK458716 TVG458716 UFC458716 UOY458716 UYU458716 VIQ458716 VSM458716 WCI458716 WME458716 WWA458716 JO524252 TK524252 ADG524252 ANC524252 AWY524252 BGU524252 BQQ524252 CAM524252 CKI524252 CUE524252 DEA524252 DNW524252 DXS524252 EHO524252 ERK524252 FBG524252 FLC524252 FUY524252 GEU524252 GOQ524252 GYM524252 HII524252 HSE524252 ICA524252 ILW524252 IVS524252 JFO524252 JPK524252 JZG524252 KJC524252 KSY524252 LCU524252 LMQ524252 LWM524252 MGI524252 MQE524252 NAA524252 NJW524252 NTS524252 ODO524252 ONK524252 OXG524252 PHC524252 PQY524252 QAU524252 QKQ524252 QUM524252 REI524252 ROE524252 RYA524252 SHW524252 SRS524252 TBO524252 TLK524252 TVG524252 UFC524252 UOY524252 UYU524252 VIQ524252 VSM524252 WCI524252 WME524252 WWA524252 JO589788 TK589788 ADG589788 ANC589788 AWY589788 BGU589788 BQQ589788 CAM589788 CKI589788 CUE589788 DEA589788 DNW589788 DXS589788 EHO589788 ERK589788 FBG589788 FLC589788 FUY589788 GEU589788 GOQ589788 GYM589788 HII589788 HSE589788 ICA589788 ILW589788 IVS589788 JFO589788 JPK589788 JZG589788 KJC589788 KSY589788 LCU589788 LMQ589788 LWM589788 MGI589788 MQE589788 NAA589788 NJW589788 NTS589788 ODO589788 ONK589788 OXG589788 PHC589788 PQY589788 QAU589788 QKQ589788 QUM589788 REI589788 ROE589788 RYA589788 SHW589788 SRS589788 TBO589788 TLK589788 TVG589788 UFC589788 UOY589788 UYU589788 VIQ589788 VSM589788 WCI589788 WME589788 WWA589788 JO655324 TK655324 ADG655324 ANC655324 AWY655324 BGU655324 BQQ655324 CAM655324 CKI655324 CUE655324 DEA655324 DNW655324 DXS655324 EHO655324 ERK655324 FBG655324 FLC655324 FUY655324 GEU655324 GOQ655324 GYM655324 HII655324 HSE655324 ICA655324 ILW655324 IVS655324 JFO655324 JPK655324 JZG655324 KJC655324 KSY655324 LCU655324 LMQ655324 LWM655324 MGI655324 MQE655324 NAA655324 NJW655324 NTS655324 ODO655324 ONK655324 OXG655324 PHC655324 PQY655324 QAU655324 QKQ655324 QUM655324 REI655324 ROE655324 RYA655324 SHW655324 SRS655324 TBO655324 TLK655324 TVG655324 UFC655324 UOY655324 UYU655324 VIQ655324 VSM655324 WCI655324 WME655324 WWA655324 JO720860 TK720860 ADG720860 ANC720860 AWY720860 BGU720860 BQQ720860 CAM720860 CKI720860 CUE720860 DEA720860 DNW720860 DXS720860 EHO720860 ERK720860 FBG720860 FLC720860 FUY720860 GEU720860 GOQ720860 GYM720860 HII720860 HSE720860 ICA720860 ILW720860 IVS720860 JFO720860 JPK720860 JZG720860 KJC720860 KSY720860 LCU720860 LMQ720860 LWM720860 MGI720860 MQE720860 NAA720860 NJW720860 NTS720860 ODO720860 ONK720860 OXG720860 PHC720860 PQY720860 QAU720860 QKQ720860 QUM720860 REI720860 ROE720860 RYA720860 SHW720860 SRS720860 TBO720860 TLK720860 TVG720860 UFC720860 UOY720860 UYU720860 VIQ720860 VSM720860 WCI720860 WME720860 WWA720860 JO786396 TK786396 ADG786396 ANC786396 AWY786396 BGU786396 BQQ786396 CAM786396 CKI786396 CUE786396 DEA786396 DNW786396 DXS786396 EHO786396 ERK786396 FBG786396 FLC786396 FUY786396 GEU786396 GOQ786396 GYM786396 HII786396 HSE786396 ICA786396 ILW786396 IVS786396 JFO786396 JPK786396 JZG786396 KJC786396 KSY786396 LCU786396 LMQ786396 LWM786396 MGI786396 MQE786396 NAA786396 NJW786396 NTS786396 ODO786396 ONK786396 OXG786396 PHC786396 PQY786396 QAU786396 QKQ786396 QUM786396 REI786396 ROE786396 RYA786396 SHW786396 SRS786396 TBO786396 TLK786396 TVG786396 UFC786396 UOY786396 UYU786396 VIQ786396 VSM786396 WCI786396 WME786396 WWA786396 JO851932 TK851932 ADG851932 ANC851932 AWY851932 BGU851932 BQQ851932 CAM851932 CKI851932 CUE851932 DEA851932 DNW851932 DXS851932 EHO851932 ERK851932 FBG851932 FLC851932 FUY851932 GEU851932 GOQ851932 GYM851932 HII851932 HSE851932 ICA851932 ILW851932 IVS851932 JFO851932 JPK851932 JZG851932 KJC851932 KSY851932 LCU851932 LMQ851932 LWM851932 MGI851932 MQE851932 NAA851932 NJW851932 NTS851932 ODO851932 ONK851932 OXG851932 PHC851932 PQY851932 QAU851932 QKQ851932 QUM851932 REI851932 ROE851932 RYA851932 SHW851932 SRS851932 TBO851932 TLK851932 TVG851932 UFC851932 UOY851932 UYU851932 VIQ851932 VSM851932 WCI851932 WME851932 WWA851932 JO917468 TK917468 ADG917468 ANC917468 AWY917468 BGU917468 BQQ917468 CAM917468 CKI917468 CUE917468 DEA917468 DNW917468 DXS917468 EHO917468 ERK917468 FBG917468 FLC917468 FUY917468 GEU917468 GOQ917468 GYM917468 HII917468 HSE917468 ICA917468 ILW917468 IVS917468 JFO917468 JPK917468 JZG917468 KJC917468 KSY917468 LCU917468 LMQ917468 LWM917468 MGI917468 MQE917468 NAA917468 NJW917468 NTS917468 ODO917468 ONK917468 OXG917468 PHC917468 PQY917468 QAU917468 QKQ917468 QUM917468 REI917468 ROE917468 RYA917468 SHW917468 SRS917468 TBO917468 TLK917468 TVG917468 UFC917468 UOY917468 UYU917468 VIQ917468 VSM917468 WCI917468 WME917468 WWA917468 JO983004 TK983004 ADG983004 ANC983004 AWY983004 BGU983004 BQQ983004 CAM983004 CKI983004 CUE983004 DEA983004 DNW983004 DXS983004 EHO983004 ERK983004 FBG983004 FLC983004 FUY983004 GEU983004 GOQ983004 GYM983004 HII983004 HSE983004 ICA983004 ILW983004 IVS983004 JFO983004 JPK983004 JZG983004 KJC983004 KSY983004 LCU983004 LMQ983004 LWM983004 MGI983004 MQE983004 NAA983004 NJW983004 NTS983004 ODO983004 ONK983004 OXG983004 PHC983004 PQY983004 QAU983004 QKQ983004 QUM983004 REI983004 ROE983004 RYA983004 SHW983004 SRS983004 TBO983004 TLK983004 TVG983004 UFC983004 UOY983004 UYU983004 VIQ983004 VSM983004 WCI983004 WME983004 WWA983004"/>
    <dataValidation allowBlank="1" showInputMessage="1" showErrorMessage="1" prompt="-6.294484" sqref="JQ65500 TM65500 ADI65500 ANE65500 AXA65500 BGW65500 BQS65500 CAO65500 CKK65500 CUG65500 DEC65500 DNY65500 DXU65500 EHQ65500 ERM65500 FBI65500 FLE65500 FVA65500 GEW65500 GOS65500 GYO65500 HIK65500 HSG65500 ICC65500 ILY65500 IVU65500 JFQ65500 JPM65500 JZI65500 KJE65500 KTA65500 LCW65500 LMS65500 LWO65500 MGK65500 MQG65500 NAC65500 NJY65500 NTU65500 ODQ65500 ONM65500 OXI65500 PHE65500 PRA65500 QAW65500 QKS65500 QUO65500 REK65500 ROG65500 RYC65500 SHY65500 SRU65500 TBQ65500 TLM65500 TVI65500 UFE65500 UPA65500 UYW65500 VIS65500 VSO65500 WCK65500 WMG65500 WWC65500 JQ131036 TM131036 ADI131036 ANE131036 AXA131036 BGW131036 BQS131036 CAO131036 CKK131036 CUG131036 DEC131036 DNY131036 DXU131036 EHQ131036 ERM131036 FBI131036 FLE131036 FVA131036 GEW131036 GOS131036 GYO131036 HIK131036 HSG131036 ICC131036 ILY131036 IVU131036 JFQ131036 JPM131036 JZI131036 KJE131036 KTA131036 LCW131036 LMS131036 LWO131036 MGK131036 MQG131036 NAC131036 NJY131036 NTU131036 ODQ131036 ONM131036 OXI131036 PHE131036 PRA131036 QAW131036 QKS131036 QUO131036 REK131036 ROG131036 RYC131036 SHY131036 SRU131036 TBQ131036 TLM131036 TVI131036 UFE131036 UPA131036 UYW131036 VIS131036 VSO131036 WCK131036 WMG131036 WWC131036 JQ196572 TM196572 ADI196572 ANE196572 AXA196572 BGW196572 BQS196572 CAO196572 CKK196572 CUG196572 DEC196572 DNY196572 DXU196572 EHQ196572 ERM196572 FBI196572 FLE196572 FVA196572 GEW196572 GOS196572 GYO196572 HIK196572 HSG196572 ICC196572 ILY196572 IVU196572 JFQ196572 JPM196572 JZI196572 KJE196572 KTA196572 LCW196572 LMS196572 LWO196572 MGK196572 MQG196572 NAC196572 NJY196572 NTU196572 ODQ196572 ONM196572 OXI196572 PHE196572 PRA196572 QAW196572 QKS196572 QUO196572 REK196572 ROG196572 RYC196572 SHY196572 SRU196572 TBQ196572 TLM196572 TVI196572 UFE196572 UPA196572 UYW196572 VIS196572 VSO196572 WCK196572 WMG196572 WWC196572 JQ262108 TM262108 ADI262108 ANE262108 AXA262108 BGW262108 BQS262108 CAO262108 CKK262108 CUG262108 DEC262108 DNY262108 DXU262108 EHQ262108 ERM262108 FBI262108 FLE262108 FVA262108 GEW262108 GOS262108 GYO262108 HIK262108 HSG262108 ICC262108 ILY262108 IVU262108 JFQ262108 JPM262108 JZI262108 KJE262108 KTA262108 LCW262108 LMS262108 LWO262108 MGK262108 MQG262108 NAC262108 NJY262108 NTU262108 ODQ262108 ONM262108 OXI262108 PHE262108 PRA262108 QAW262108 QKS262108 QUO262108 REK262108 ROG262108 RYC262108 SHY262108 SRU262108 TBQ262108 TLM262108 TVI262108 UFE262108 UPA262108 UYW262108 VIS262108 VSO262108 WCK262108 WMG262108 WWC262108 JQ327644 TM327644 ADI327644 ANE327644 AXA327644 BGW327644 BQS327644 CAO327644 CKK327644 CUG327644 DEC327644 DNY327644 DXU327644 EHQ327644 ERM327644 FBI327644 FLE327644 FVA327644 GEW327644 GOS327644 GYO327644 HIK327644 HSG327644 ICC327644 ILY327644 IVU327644 JFQ327644 JPM327644 JZI327644 KJE327644 KTA327644 LCW327644 LMS327644 LWO327644 MGK327644 MQG327644 NAC327644 NJY327644 NTU327644 ODQ327644 ONM327644 OXI327644 PHE327644 PRA327644 QAW327644 QKS327644 QUO327644 REK327644 ROG327644 RYC327644 SHY327644 SRU327644 TBQ327644 TLM327644 TVI327644 UFE327644 UPA327644 UYW327644 VIS327644 VSO327644 WCK327644 WMG327644 WWC327644 JQ393180 TM393180 ADI393180 ANE393180 AXA393180 BGW393180 BQS393180 CAO393180 CKK393180 CUG393180 DEC393180 DNY393180 DXU393180 EHQ393180 ERM393180 FBI393180 FLE393180 FVA393180 GEW393180 GOS393180 GYO393180 HIK393180 HSG393180 ICC393180 ILY393180 IVU393180 JFQ393180 JPM393180 JZI393180 KJE393180 KTA393180 LCW393180 LMS393180 LWO393180 MGK393180 MQG393180 NAC393180 NJY393180 NTU393180 ODQ393180 ONM393180 OXI393180 PHE393180 PRA393180 QAW393180 QKS393180 QUO393180 REK393180 ROG393180 RYC393180 SHY393180 SRU393180 TBQ393180 TLM393180 TVI393180 UFE393180 UPA393180 UYW393180 VIS393180 VSO393180 WCK393180 WMG393180 WWC393180 JQ458716 TM458716 ADI458716 ANE458716 AXA458716 BGW458716 BQS458716 CAO458716 CKK458716 CUG458716 DEC458716 DNY458716 DXU458716 EHQ458716 ERM458716 FBI458716 FLE458716 FVA458716 GEW458716 GOS458716 GYO458716 HIK458716 HSG458716 ICC458716 ILY458716 IVU458716 JFQ458716 JPM458716 JZI458716 KJE458716 KTA458716 LCW458716 LMS458716 LWO458716 MGK458716 MQG458716 NAC458716 NJY458716 NTU458716 ODQ458716 ONM458716 OXI458716 PHE458716 PRA458716 QAW458716 QKS458716 QUO458716 REK458716 ROG458716 RYC458716 SHY458716 SRU458716 TBQ458716 TLM458716 TVI458716 UFE458716 UPA458716 UYW458716 VIS458716 VSO458716 WCK458716 WMG458716 WWC458716 JQ524252 TM524252 ADI524252 ANE524252 AXA524252 BGW524252 BQS524252 CAO524252 CKK524252 CUG524252 DEC524252 DNY524252 DXU524252 EHQ524252 ERM524252 FBI524252 FLE524252 FVA524252 GEW524252 GOS524252 GYO524252 HIK524252 HSG524252 ICC524252 ILY524252 IVU524252 JFQ524252 JPM524252 JZI524252 KJE524252 KTA524252 LCW524252 LMS524252 LWO524252 MGK524252 MQG524252 NAC524252 NJY524252 NTU524252 ODQ524252 ONM524252 OXI524252 PHE524252 PRA524252 QAW524252 QKS524252 QUO524252 REK524252 ROG524252 RYC524252 SHY524252 SRU524252 TBQ524252 TLM524252 TVI524252 UFE524252 UPA524252 UYW524252 VIS524252 VSO524252 WCK524252 WMG524252 WWC524252 JQ589788 TM589788 ADI589788 ANE589788 AXA589788 BGW589788 BQS589788 CAO589788 CKK589788 CUG589788 DEC589788 DNY589788 DXU589788 EHQ589788 ERM589788 FBI589788 FLE589788 FVA589788 GEW589788 GOS589788 GYO589788 HIK589788 HSG589788 ICC589788 ILY589788 IVU589788 JFQ589788 JPM589788 JZI589788 KJE589788 KTA589788 LCW589788 LMS589788 LWO589788 MGK589788 MQG589788 NAC589788 NJY589788 NTU589788 ODQ589788 ONM589788 OXI589788 PHE589788 PRA589788 QAW589788 QKS589788 QUO589788 REK589788 ROG589788 RYC589788 SHY589788 SRU589788 TBQ589788 TLM589788 TVI589788 UFE589788 UPA589788 UYW589788 VIS589788 VSO589788 WCK589788 WMG589788 WWC589788 JQ655324 TM655324 ADI655324 ANE655324 AXA655324 BGW655324 BQS655324 CAO655324 CKK655324 CUG655324 DEC655324 DNY655324 DXU655324 EHQ655324 ERM655324 FBI655324 FLE655324 FVA655324 GEW655324 GOS655324 GYO655324 HIK655324 HSG655324 ICC655324 ILY655324 IVU655324 JFQ655324 JPM655324 JZI655324 KJE655324 KTA655324 LCW655324 LMS655324 LWO655324 MGK655324 MQG655324 NAC655324 NJY655324 NTU655324 ODQ655324 ONM655324 OXI655324 PHE655324 PRA655324 QAW655324 QKS655324 QUO655324 REK655324 ROG655324 RYC655324 SHY655324 SRU655324 TBQ655324 TLM655324 TVI655324 UFE655324 UPA655324 UYW655324 VIS655324 VSO655324 WCK655324 WMG655324 WWC655324 JQ720860 TM720860 ADI720860 ANE720860 AXA720860 BGW720860 BQS720860 CAO720860 CKK720860 CUG720860 DEC720860 DNY720860 DXU720860 EHQ720860 ERM720860 FBI720860 FLE720860 FVA720860 GEW720860 GOS720860 GYO720860 HIK720860 HSG720860 ICC720860 ILY720860 IVU720860 JFQ720860 JPM720860 JZI720860 KJE720860 KTA720860 LCW720860 LMS720860 LWO720860 MGK720860 MQG720860 NAC720860 NJY720860 NTU720860 ODQ720860 ONM720860 OXI720860 PHE720860 PRA720860 QAW720860 QKS720860 QUO720860 REK720860 ROG720860 RYC720860 SHY720860 SRU720860 TBQ720860 TLM720860 TVI720860 UFE720860 UPA720860 UYW720860 VIS720860 VSO720860 WCK720860 WMG720860 WWC720860 JQ786396 TM786396 ADI786396 ANE786396 AXA786396 BGW786396 BQS786396 CAO786396 CKK786396 CUG786396 DEC786396 DNY786396 DXU786396 EHQ786396 ERM786396 FBI786396 FLE786396 FVA786396 GEW786396 GOS786396 GYO786396 HIK786396 HSG786396 ICC786396 ILY786396 IVU786396 JFQ786396 JPM786396 JZI786396 KJE786396 KTA786396 LCW786396 LMS786396 LWO786396 MGK786396 MQG786396 NAC786396 NJY786396 NTU786396 ODQ786396 ONM786396 OXI786396 PHE786396 PRA786396 QAW786396 QKS786396 QUO786396 REK786396 ROG786396 RYC786396 SHY786396 SRU786396 TBQ786396 TLM786396 TVI786396 UFE786396 UPA786396 UYW786396 VIS786396 VSO786396 WCK786396 WMG786396 WWC786396 JQ851932 TM851932 ADI851932 ANE851932 AXA851932 BGW851932 BQS851932 CAO851932 CKK851932 CUG851932 DEC851932 DNY851932 DXU851932 EHQ851932 ERM851932 FBI851932 FLE851932 FVA851932 GEW851932 GOS851932 GYO851932 HIK851932 HSG851932 ICC851932 ILY851932 IVU851932 JFQ851932 JPM851932 JZI851932 KJE851932 KTA851932 LCW851932 LMS851932 LWO851932 MGK851932 MQG851932 NAC851932 NJY851932 NTU851932 ODQ851932 ONM851932 OXI851932 PHE851932 PRA851932 QAW851932 QKS851932 QUO851932 REK851932 ROG851932 RYC851932 SHY851932 SRU851932 TBQ851932 TLM851932 TVI851932 UFE851932 UPA851932 UYW851932 VIS851932 VSO851932 WCK851932 WMG851932 WWC851932 JQ917468 TM917468 ADI917468 ANE917468 AXA917468 BGW917468 BQS917468 CAO917468 CKK917468 CUG917468 DEC917468 DNY917468 DXU917468 EHQ917468 ERM917468 FBI917468 FLE917468 FVA917468 GEW917468 GOS917468 GYO917468 HIK917468 HSG917468 ICC917468 ILY917468 IVU917468 JFQ917468 JPM917468 JZI917468 KJE917468 KTA917468 LCW917468 LMS917468 LWO917468 MGK917468 MQG917468 NAC917468 NJY917468 NTU917468 ODQ917468 ONM917468 OXI917468 PHE917468 PRA917468 QAW917468 QKS917468 QUO917468 REK917468 ROG917468 RYC917468 SHY917468 SRU917468 TBQ917468 TLM917468 TVI917468 UFE917468 UPA917468 UYW917468 VIS917468 VSO917468 WCK917468 WMG917468 WWC917468 JQ983004 TM983004 ADI983004 ANE983004 AXA983004 BGW983004 BQS983004 CAO983004 CKK983004 CUG983004 DEC983004 DNY983004 DXU983004 EHQ983004 ERM983004 FBI983004 FLE983004 FVA983004 GEW983004 GOS983004 GYO983004 HIK983004 HSG983004 ICC983004 ILY983004 IVU983004 JFQ983004 JPM983004 JZI983004 KJE983004 KTA983004 LCW983004 LMS983004 LWO983004 MGK983004 MQG983004 NAC983004 NJY983004 NTU983004 ODQ983004 ONM983004 OXI983004 PHE983004 PRA983004 QAW983004 QKS983004 QUO983004 REK983004 ROG983004 RYC983004 SHY983004 SRU983004 TBQ983004 TLM983004 TVI983004 UFE983004 UPA983004 UYW983004 VIS983004 VSO983004 WCK983004 WMG983004 WWC983004"/>
    <dataValidation allowBlank="1" showInputMessage="1" showErrorMessage="1" prompt="53° 20' 52.4436''" sqref="JO65504 TK65504 ADG65504 ANC65504 AWY65504 BGU65504 BQQ65504 CAM65504 CKI65504 CUE65504 DEA65504 DNW65504 DXS65504 EHO65504 ERK65504 FBG65504 FLC65504 FUY65504 GEU65504 GOQ65504 GYM65504 HII65504 HSE65504 ICA65504 ILW65504 IVS65504 JFO65504 JPK65504 JZG65504 KJC65504 KSY65504 LCU65504 LMQ65504 LWM65504 MGI65504 MQE65504 NAA65504 NJW65504 NTS65504 ODO65504 ONK65504 OXG65504 PHC65504 PQY65504 QAU65504 QKQ65504 QUM65504 REI65504 ROE65504 RYA65504 SHW65504 SRS65504 TBO65504 TLK65504 TVG65504 UFC65504 UOY65504 UYU65504 VIQ65504 VSM65504 WCI65504 WME65504 WWA65504 JO131040 TK131040 ADG131040 ANC131040 AWY131040 BGU131040 BQQ131040 CAM131040 CKI131040 CUE131040 DEA131040 DNW131040 DXS131040 EHO131040 ERK131040 FBG131040 FLC131040 FUY131040 GEU131040 GOQ131040 GYM131040 HII131040 HSE131040 ICA131040 ILW131040 IVS131040 JFO131040 JPK131040 JZG131040 KJC131040 KSY131040 LCU131040 LMQ131040 LWM131040 MGI131040 MQE131040 NAA131040 NJW131040 NTS131040 ODO131040 ONK131040 OXG131040 PHC131040 PQY131040 QAU131040 QKQ131040 QUM131040 REI131040 ROE131040 RYA131040 SHW131040 SRS131040 TBO131040 TLK131040 TVG131040 UFC131040 UOY131040 UYU131040 VIQ131040 VSM131040 WCI131040 WME131040 WWA131040 JO196576 TK196576 ADG196576 ANC196576 AWY196576 BGU196576 BQQ196576 CAM196576 CKI196576 CUE196576 DEA196576 DNW196576 DXS196576 EHO196576 ERK196576 FBG196576 FLC196576 FUY196576 GEU196576 GOQ196576 GYM196576 HII196576 HSE196576 ICA196576 ILW196576 IVS196576 JFO196576 JPK196576 JZG196576 KJC196576 KSY196576 LCU196576 LMQ196576 LWM196576 MGI196576 MQE196576 NAA196576 NJW196576 NTS196576 ODO196576 ONK196576 OXG196576 PHC196576 PQY196576 QAU196576 QKQ196576 QUM196576 REI196576 ROE196576 RYA196576 SHW196576 SRS196576 TBO196576 TLK196576 TVG196576 UFC196576 UOY196576 UYU196576 VIQ196576 VSM196576 WCI196576 WME196576 WWA196576 JO262112 TK262112 ADG262112 ANC262112 AWY262112 BGU262112 BQQ262112 CAM262112 CKI262112 CUE262112 DEA262112 DNW262112 DXS262112 EHO262112 ERK262112 FBG262112 FLC262112 FUY262112 GEU262112 GOQ262112 GYM262112 HII262112 HSE262112 ICA262112 ILW262112 IVS262112 JFO262112 JPK262112 JZG262112 KJC262112 KSY262112 LCU262112 LMQ262112 LWM262112 MGI262112 MQE262112 NAA262112 NJW262112 NTS262112 ODO262112 ONK262112 OXG262112 PHC262112 PQY262112 QAU262112 QKQ262112 QUM262112 REI262112 ROE262112 RYA262112 SHW262112 SRS262112 TBO262112 TLK262112 TVG262112 UFC262112 UOY262112 UYU262112 VIQ262112 VSM262112 WCI262112 WME262112 WWA262112 JO327648 TK327648 ADG327648 ANC327648 AWY327648 BGU327648 BQQ327648 CAM327648 CKI327648 CUE327648 DEA327648 DNW327648 DXS327648 EHO327648 ERK327648 FBG327648 FLC327648 FUY327648 GEU327648 GOQ327648 GYM327648 HII327648 HSE327648 ICA327648 ILW327648 IVS327648 JFO327648 JPK327648 JZG327648 KJC327648 KSY327648 LCU327648 LMQ327648 LWM327648 MGI327648 MQE327648 NAA327648 NJW327648 NTS327648 ODO327648 ONK327648 OXG327648 PHC327648 PQY327648 QAU327648 QKQ327648 QUM327648 REI327648 ROE327648 RYA327648 SHW327648 SRS327648 TBO327648 TLK327648 TVG327648 UFC327648 UOY327648 UYU327648 VIQ327648 VSM327648 WCI327648 WME327648 WWA327648 JO393184 TK393184 ADG393184 ANC393184 AWY393184 BGU393184 BQQ393184 CAM393184 CKI393184 CUE393184 DEA393184 DNW393184 DXS393184 EHO393184 ERK393184 FBG393184 FLC393184 FUY393184 GEU393184 GOQ393184 GYM393184 HII393184 HSE393184 ICA393184 ILW393184 IVS393184 JFO393184 JPK393184 JZG393184 KJC393184 KSY393184 LCU393184 LMQ393184 LWM393184 MGI393184 MQE393184 NAA393184 NJW393184 NTS393184 ODO393184 ONK393184 OXG393184 PHC393184 PQY393184 QAU393184 QKQ393184 QUM393184 REI393184 ROE393184 RYA393184 SHW393184 SRS393184 TBO393184 TLK393184 TVG393184 UFC393184 UOY393184 UYU393184 VIQ393184 VSM393184 WCI393184 WME393184 WWA393184 JO458720 TK458720 ADG458720 ANC458720 AWY458720 BGU458720 BQQ458720 CAM458720 CKI458720 CUE458720 DEA458720 DNW458720 DXS458720 EHO458720 ERK458720 FBG458720 FLC458720 FUY458720 GEU458720 GOQ458720 GYM458720 HII458720 HSE458720 ICA458720 ILW458720 IVS458720 JFO458720 JPK458720 JZG458720 KJC458720 KSY458720 LCU458720 LMQ458720 LWM458720 MGI458720 MQE458720 NAA458720 NJW458720 NTS458720 ODO458720 ONK458720 OXG458720 PHC458720 PQY458720 QAU458720 QKQ458720 QUM458720 REI458720 ROE458720 RYA458720 SHW458720 SRS458720 TBO458720 TLK458720 TVG458720 UFC458720 UOY458720 UYU458720 VIQ458720 VSM458720 WCI458720 WME458720 WWA458720 JO524256 TK524256 ADG524256 ANC524256 AWY524256 BGU524256 BQQ524256 CAM524256 CKI524256 CUE524256 DEA524256 DNW524256 DXS524256 EHO524256 ERK524256 FBG524256 FLC524256 FUY524256 GEU524256 GOQ524256 GYM524256 HII524256 HSE524256 ICA524256 ILW524256 IVS524256 JFO524256 JPK524256 JZG524256 KJC524256 KSY524256 LCU524256 LMQ524256 LWM524256 MGI524256 MQE524256 NAA524256 NJW524256 NTS524256 ODO524256 ONK524256 OXG524256 PHC524256 PQY524256 QAU524256 QKQ524256 QUM524256 REI524256 ROE524256 RYA524256 SHW524256 SRS524256 TBO524256 TLK524256 TVG524256 UFC524256 UOY524256 UYU524256 VIQ524256 VSM524256 WCI524256 WME524256 WWA524256 JO589792 TK589792 ADG589792 ANC589792 AWY589792 BGU589792 BQQ589792 CAM589792 CKI589792 CUE589792 DEA589792 DNW589792 DXS589792 EHO589792 ERK589792 FBG589792 FLC589792 FUY589792 GEU589792 GOQ589792 GYM589792 HII589792 HSE589792 ICA589792 ILW589792 IVS589792 JFO589792 JPK589792 JZG589792 KJC589792 KSY589792 LCU589792 LMQ589792 LWM589792 MGI589792 MQE589792 NAA589792 NJW589792 NTS589792 ODO589792 ONK589792 OXG589792 PHC589792 PQY589792 QAU589792 QKQ589792 QUM589792 REI589792 ROE589792 RYA589792 SHW589792 SRS589792 TBO589792 TLK589792 TVG589792 UFC589792 UOY589792 UYU589792 VIQ589792 VSM589792 WCI589792 WME589792 WWA589792 JO655328 TK655328 ADG655328 ANC655328 AWY655328 BGU655328 BQQ655328 CAM655328 CKI655328 CUE655328 DEA655328 DNW655328 DXS655328 EHO655328 ERK655328 FBG655328 FLC655328 FUY655328 GEU655328 GOQ655328 GYM655328 HII655328 HSE655328 ICA655328 ILW655328 IVS655328 JFO655328 JPK655328 JZG655328 KJC655328 KSY655328 LCU655328 LMQ655328 LWM655328 MGI655328 MQE655328 NAA655328 NJW655328 NTS655328 ODO655328 ONK655328 OXG655328 PHC655328 PQY655328 QAU655328 QKQ655328 QUM655328 REI655328 ROE655328 RYA655328 SHW655328 SRS655328 TBO655328 TLK655328 TVG655328 UFC655328 UOY655328 UYU655328 VIQ655328 VSM655328 WCI655328 WME655328 WWA655328 JO720864 TK720864 ADG720864 ANC720864 AWY720864 BGU720864 BQQ720864 CAM720864 CKI720864 CUE720864 DEA720864 DNW720864 DXS720864 EHO720864 ERK720864 FBG720864 FLC720864 FUY720864 GEU720864 GOQ720864 GYM720864 HII720864 HSE720864 ICA720864 ILW720864 IVS720864 JFO720864 JPK720864 JZG720864 KJC720864 KSY720864 LCU720864 LMQ720864 LWM720864 MGI720864 MQE720864 NAA720864 NJW720864 NTS720864 ODO720864 ONK720864 OXG720864 PHC720864 PQY720864 QAU720864 QKQ720864 QUM720864 REI720864 ROE720864 RYA720864 SHW720864 SRS720864 TBO720864 TLK720864 TVG720864 UFC720864 UOY720864 UYU720864 VIQ720864 VSM720864 WCI720864 WME720864 WWA720864 JO786400 TK786400 ADG786400 ANC786400 AWY786400 BGU786400 BQQ786400 CAM786400 CKI786400 CUE786400 DEA786400 DNW786400 DXS786400 EHO786400 ERK786400 FBG786400 FLC786400 FUY786400 GEU786400 GOQ786400 GYM786400 HII786400 HSE786400 ICA786400 ILW786400 IVS786400 JFO786400 JPK786400 JZG786400 KJC786400 KSY786400 LCU786400 LMQ786400 LWM786400 MGI786400 MQE786400 NAA786400 NJW786400 NTS786400 ODO786400 ONK786400 OXG786400 PHC786400 PQY786400 QAU786400 QKQ786400 QUM786400 REI786400 ROE786400 RYA786400 SHW786400 SRS786400 TBO786400 TLK786400 TVG786400 UFC786400 UOY786400 UYU786400 VIQ786400 VSM786400 WCI786400 WME786400 WWA786400 JO851936 TK851936 ADG851936 ANC851936 AWY851936 BGU851936 BQQ851936 CAM851936 CKI851936 CUE851936 DEA851936 DNW851936 DXS851936 EHO851936 ERK851936 FBG851936 FLC851936 FUY851936 GEU851936 GOQ851936 GYM851936 HII851936 HSE851936 ICA851936 ILW851936 IVS851936 JFO851936 JPK851936 JZG851936 KJC851936 KSY851936 LCU851936 LMQ851936 LWM851936 MGI851936 MQE851936 NAA851936 NJW851936 NTS851936 ODO851936 ONK851936 OXG851936 PHC851936 PQY851936 QAU851936 QKQ851936 QUM851936 REI851936 ROE851936 RYA851936 SHW851936 SRS851936 TBO851936 TLK851936 TVG851936 UFC851936 UOY851936 UYU851936 VIQ851936 VSM851936 WCI851936 WME851936 WWA851936 JO917472 TK917472 ADG917472 ANC917472 AWY917472 BGU917472 BQQ917472 CAM917472 CKI917472 CUE917472 DEA917472 DNW917472 DXS917472 EHO917472 ERK917472 FBG917472 FLC917472 FUY917472 GEU917472 GOQ917472 GYM917472 HII917472 HSE917472 ICA917472 ILW917472 IVS917472 JFO917472 JPK917472 JZG917472 KJC917472 KSY917472 LCU917472 LMQ917472 LWM917472 MGI917472 MQE917472 NAA917472 NJW917472 NTS917472 ODO917472 ONK917472 OXG917472 PHC917472 PQY917472 QAU917472 QKQ917472 QUM917472 REI917472 ROE917472 RYA917472 SHW917472 SRS917472 TBO917472 TLK917472 TVG917472 UFC917472 UOY917472 UYU917472 VIQ917472 VSM917472 WCI917472 WME917472 WWA917472 JO983008 TK983008 ADG983008 ANC983008 AWY983008 BGU983008 BQQ983008 CAM983008 CKI983008 CUE983008 DEA983008 DNW983008 DXS983008 EHO983008 ERK983008 FBG983008 FLC983008 FUY983008 GEU983008 GOQ983008 GYM983008 HII983008 HSE983008 ICA983008 ILW983008 IVS983008 JFO983008 JPK983008 JZG983008 KJC983008 KSY983008 LCU983008 LMQ983008 LWM983008 MGI983008 MQE983008 NAA983008 NJW983008 NTS983008 ODO983008 ONK983008 OXG983008 PHC983008 PQY983008 QAU983008 QKQ983008 QUM983008 REI983008 ROE983008 RYA983008 SHW983008 SRS983008 TBO983008 TLK983008 TVG983008 UFC983008 UOY983008 UYU983008 VIQ983008 VSM983008 WCI983008 WME983008 WWA983008"/>
    <dataValidation allowBlank="1" showInputMessage="1" showErrorMessage="1" prompt="6° 17' 40.1424''" sqref="JQ65504 TM65504 ADI65504 ANE65504 AXA65504 BGW65504 BQS65504 CAO65504 CKK65504 CUG65504 DEC65504 DNY65504 DXU65504 EHQ65504 ERM65504 FBI65504 FLE65504 FVA65504 GEW65504 GOS65504 GYO65504 HIK65504 HSG65504 ICC65504 ILY65504 IVU65504 JFQ65504 JPM65504 JZI65504 KJE65504 KTA65504 LCW65504 LMS65504 LWO65504 MGK65504 MQG65504 NAC65504 NJY65504 NTU65504 ODQ65504 ONM65504 OXI65504 PHE65504 PRA65504 QAW65504 QKS65504 QUO65504 REK65504 ROG65504 RYC65504 SHY65504 SRU65504 TBQ65504 TLM65504 TVI65504 UFE65504 UPA65504 UYW65504 VIS65504 VSO65504 WCK65504 WMG65504 WWC65504 JQ131040 TM131040 ADI131040 ANE131040 AXA131040 BGW131040 BQS131040 CAO131040 CKK131040 CUG131040 DEC131040 DNY131040 DXU131040 EHQ131040 ERM131040 FBI131040 FLE131040 FVA131040 GEW131040 GOS131040 GYO131040 HIK131040 HSG131040 ICC131040 ILY131040 IVU131040 JFQ131040 JPM131040 JZI131040 KJE131040 KTA131040 LCW131040 LMS131040 LWO131040 MGK131040 MQG131040 NAC131040 NJY131040 NTU131040 ODQ131040 ONM131040 OXI131040 PHE131040 PRA131040 QAW131040 QKS131040 QUO131040 REK131040 ROG131040 RYC131040 SHY131040 SRU131040 TBQ131040 TLM131040 TVI131040 UFE131040 UPA131040 UYW131040 VIS131040 VSO131040 WCK131040 WMG131040 WWC131040 JQ196576 TM196576 ADI196576 ANE196576 AXA196576 BGW196576 BQS196576 CAO196576 CKK196576 CUG196576 DEC196576 DNY196576 DXU196576 EHQ196576 ERM196576 FBI196576 FLE196576 FVA196576 GEW196576 GOS196576 GYO196576 HIK196576 HSG196576 ICC196576 ILY196576 IVU196576 JFQ196576 JPM196576 JZI196576 KJE196576 KTA196576 LCW196576 LMS196576 LWO196576 MGK196576 MQG196576 NAC196576 NJY196576 NTU196576 ODQ196576 ONM196576 OXI196576 PHE196576 PRA196576 QAW196576 QKS196576 QUO196576 REK196576 ROG196576 RYC196576 SHY196576 SRU196576 TBQ196576 TLM196576 TVI196576 UFE196576 UPA196576 UYW196576 VIS196576 VSO196576 WCK196576 WMG196576 WWC196576 JQ262112 TM262112 ADI262112 ANE262112 AXA262112 BGW262112 BQS262112 CAO262112 CKK262112 CUG262112 DEC262112 DNY262112 DXU262112 EHQ262112 ERM262112 FBI262112 FLE262112 FVA262112 GEW262112 GOS262112 GYO262112 HIK262112 HSG262112 ICC262112 ILY262112 IVU262112 JFQ262112 JPM262112 JZI262112 KJE262112 KTA262112 LCW262112 LMS262112 LWO262112 MGK262112 MQG262112 NAC262112 NJY262112 NTU262112 ODQ262112 ONM262112 OXI262112 PHE262112 PRA262112 QAW262112 QKS262112 QUO262112 REK262112 ROG262112 RYC262112 SHY262112 SRU262112 TBQ262112 TLM262112 TVI262112 UFE262112 UPA262112 UYW262112 VIS262112 VSO262112 WCK262112 WMG262112 WWC262112 JQ327648 TM327648 ADI327648 ANE327648 AXA327648 BGW327648 BQS327648 CAO327648 CKK327648 CUG327648 DEC327648 DNY327648 DXU327648 EHQ327648 ERM327648 FBI327648 FLE327648 FVA327648 GEW327648 GOS327648 GYO327648 HIK327648 HSG327648 ICC327648 ILY327648 IVU327648 JFQ327648 JPM327648 JZI327648 KJE327648 KTA327648 LCW327648 LMS327648 LWO327648 MGK327648 MQG327648 NAC327648 NJY327648 NTU327648 ODQ327648 ONM327648 OXI327648 PHE327648 PRA327648 QAW327648 QKS327648 QUO327648 REK327648 ROG327648 RYC327648 SHY327648 SRU327648 TBQ327648 TLM327648 TVI327648 UFE327648 UPA327648 UYW327648 VIS327648 VSO327648 WCK327648 WMG327648 WWC327648 JQ393184 TM393184 ADI393184 ANE393184 AXA393184 BGW393184 BQS393184 CAO393184 CKK393184 CUG393184 DEC393184 DNY393184 DXU393184 EHQ393184 ERM393184 FBI393184 FLE393184 FVA393184 GEW393184 GOS393184 GYO393184 HIK393184 HSG393184 ICC393184 ILY393184 IVU393184 JFQ393184 JPM393184 JZI393184 KJE393184 KTA393184 LCW393184 LMS393184 LWO393184 MGK393184 MQG393184 NAC393184 NJY393184 NTU393184 ODQ393184 ONM393184 OXI393184 PHE393184 PRA393184 QAW393184 QKS393184 QUO393184 REK393184 ROG393184 RYC393184 SHY393184 SRU393184 TBQ393184 TLM393184 TVI393184 UFE393184 UPA393184 UYW393184 VIS393184 VSO393184 WCK393184 WMG393184 WWC393184 JQ458720 TM458720 ADI458720 ANE458720 AXA458720 BGW458720 BQS458720 CAO458720 CKK458720 CUG458720 DEC458720 DNY458720 DXU458720 EHQ458720 ERM458720 FBI458720 FLE458720 FVA458720 GEW458720 GOS458720 GYO458720 HIK458720 HSG458720 ICC458720 ILY458720 IVU458720 JFQ458720 JPM458720 JZI458720 KJE458720 KTA458720 LCW458720 LMS458720 LWO458720 MGK458720 MQG458720 NAC458720 NJY458720 NTU458720 ODQ458720 ONM458720 OXI458720 PHE458720 PRA458720 QAW458720 QKS458720 QUO458720 REK458720 ROG458720 RYC458720 SHY458720 SRU458720 TBQ458720 TLM458720 TVI458720 UFE458720 UPA458720 UYW458720 VIS458720 VSO458720 WCK458720 WMG458720 WWC458720 JQ524256 TM524256 ADI524256 ANE524256 AXA524256 BGW524256 BQS524256 CAO524256 CKK524256 CUG524256 DEC524256 DNY524256 DXU524256 EHQ524256 ERM524256 FBI524256 FLE524256 FVA524256 GEW524256 GOS524256 GYO524256 HIK524256 HSG524256 ICC524256 ILY524256 IVU524256 JFQ524256 JPM524256 JZI524256 KJE524256 KTA524256 LCW524256 LMS524256 LWO524256 MGK524256 MQG524256 NAC524256 NJY524256 NTU524256 ODQ524256 ONM524256 OXI524256 PHE524256 PRA524256 QAW524256 QKS524256 QUO524256 REK524256 ROG524256 RYC524256 SHY524256 SRU524256 TBQ524256 TLM524256 TVI524256 UFE524256 UPA524256 UYW524256 VIS524256 VSO524256 WCK524256 WMG524256 WWC524256 JQ589792 TM589792 ADI589792 ANE589792 AXA589792 BGW589792 BQS589792 CAO589792 CKK589792 CUG589792 DEC589792 DNY589792 DXU589792 EHQ589792 ERM589792 FBI589792 FLE589792 FVA589792 GEW589792 GOS589792 GYO589792 HIK589792 HSG589792 ICC589792 ILY589792 IVU589792 JFQ589792 JPM589792 JZI589792 KJE589792 KTA589792 LCW589792 LMS589792 LWO589792 MGK589792 MQG589792 NAC589792 NJY589792 NTU589792 ODQ589792 ONM589792 OXI589792 PHE589792 PRA589792 QAW589792 QKS589792 QUO589792 REK589792 ROG589792 RYC589792 SHY589792 SRU589792 TBQ589792 TLM589792 TVI589792 UFE589792 UPA589792 UYW589792 VIS589792 VSO589792 WCK589792 WMG589792 WWC589792 JQ655328 TM655328 ADI655328 ANE655328 AXA655328 BGW655328 BQS655328 CAO655328 CKK655328 CUG655328 DEC655328 DNY655328 DXU655328 EHQ655328 ERM655328 FBI655328 FLE655328 FVA655328 GEW655328 GOS655328 GYO655328 HIK655328 HSG655328 ICC655328 ILY655328 IVU655328 JFQ655328 JPM655328 JZI655328 KJE655328 KTA655328 LCW655328 LMS655328 LWO655328 MGK655328 MQG655328 NAC655328 NJY655328 NTU655328 ODQ655328 ONM655328 OXI655328 PHE655328 PRA655328 QAW655328 QKS655328 QUO655328 REK655328 ROG655328 RYC655328 SHY655328 SRU655328 TBQ655328 TLM655328 TVI655328 UFE655328 UPA655328 UYW655328 VIS655328 VSO655328 WCK655328 WMG655328 WWC655328 JQ720864 TM720864 ADI720864 ANE720864 AXA720864 BGW720864 BQS720864 CAO720864 CKK720864 CUG720864 DEC720864 DNY720864 DXU720864 EHQ720864 ERM720864 FBI720864 FLE720864 FVA720864 GEW720864 GOS720864 GYO720864 HIK720864 HSG720864 ICC720864 ILY720864 IVU720864 JFQ720864 JPM720864 JZI720864 KJE720864 KTA720864 LCW720864 LMS720864 LWO720864 MGK720864 MQG720864 NAC720864 NJY720864 NTU720864 ODQ720864 ONM720864 OXI720864 PHE720864 PRA720864 QAW720864 QKS720864 QUO720864 REK720864 ROG720864 RYC720864 SHY720864 SRU720864 TBQ720864 TLM720864 TVI720864 UFE720864 UPA720864 UYW720864 VIS720864 VSO720864 WCK720864 WMG720864 WWC720864 JQ786400 TM786400 ADI786400 ANE786400 AXA786400 BGW786400 BQS786400 CAO786400 CKK786400 CUG786400 DEC786400 DNY786400 DXU786400 EHQ786400 ERM786400 FBI786400 FLE786400 FVA786400 GEW786400 GOS786400 GYO786400 HIK786400 HSG786400 ICC786400 ILY786400 IVU786400 JFQ786400 JPM786400 JZI786400 KJE786400 KTA786400 LCW786400 LMS786400 LWO786400 MGK786400 MQG786400 NAC786400 NJY786400 NTU786400 ODQ786400 ONM786400 OXI786400 PHE786400 PRA786400 QAW786400 QKS786400 QUO786400 REK786400 ROG786400 RYC786400 SHY786400 SRU786400 TBQ786400 TLM786400 TVI786400 UFE786400 UPA786400 UYW786400 VIS786400 VSO786400 WCK786400 WMG786400 WWC786400 JQ851936 TM851936 ADI851936 ANE851936 AXA851936 BGW851936 BQS851936 CAO851936 CKK851936 CUG851936 DEC851936 DNY851936 DXU851936 EHQ851936 ERM851936 FBI851936 FLE851936 FVA851936 GEW851936 GOS851936 GYO851936 HIK851936 HSG851936 ICC851936 ILY851936 IVU851936 JFQ851936 JPM851936 JZI851936 KJE851936 KTA851936 LCW851936 LMS851936 LWO851936 MGK851936 MQG851936 NAC851936 NJY851936 NTU851936 ODQ851936 ONM851936 OXI851936 PHE851936 PRA851936 QAW851936 QKS851936 QUO851936 REK851936 ROG851936 RYC851936 SHY851936 SRU851936 TBQ851936 TLM851936 TVI851936 UFE851936 UPA851936 UYW851936 VIS851936 VSO851936 WCK851936 WMG851936 WWC851936 JQ917472 TM917472 ADI917472 ANE917472 AXA917472 BGW917472 BQS917472 CAO917472 CKK917472 CUG917472 DEC917472 DNY917472 DXU917472 EHQ917472 ERM917472 FBI917472 FLE917472 FVA917472 GEW917472 GOS917472 GYO917472 HIK917472 HSG917472 ICC917472 ILY917472 IVU917472 JFQ917472 JPM917472 JZI917472 KJE917472 KTA917472 LCW917472 LMS917472 LWO917472 MGK917472 MQG917472 NAC917472 NJY917472 NTU917472 ODQ917472 ONM917472 OXI917472 PHE917472 PRA917472 QAW917472 QKS917472 QUO917472 REK917472 ROG917472 RYC917472 SHY917472 SRU917472 TBQ917472 TLM917472 TVI917472 UFE917472 UPA917472 UYW917472 VIS917472 VSO917472 WCK917472 WMG917472 WWC917472 JQ983008 TM983008 ADI983008 ANE983008 AXA983008 BGW983008 BQS983008 CAO983008 CKK983008 CUG983008 DEC983008 DNY983008 DXU983008 EHQ983008 ERM983008 FBI983008 FLE983008 FVA983008 GEW983008 GOS983008 GYO983008 HIK983008 HSG983008 ICC983008 ILY983008 IVU983008 JFQ983008 JPM983008 JZI983008 KJE983008 KTA983008 LCW983008 LMS983008 LWO983008 MGK983008 MQG983008 NAC983008 NJY983008 NTU983008 ODQ983008 ONM983008 OXI983008 PHE983008 PRA983008 QAW983008 QKS983008 QUO983008 REK983008 ROG983008 RYC983008 SHY983008 SRU983008 TBQ983008 TLM983008 TVI983008 UFE983008 UPA983008 UYW983008 VIS983008 VSO983008 WCK983008 WMG983008 WWC983008"/>
  </dataValidations>
  <hyperlinks>
    <hyperlink ref="B29" r:id="rId1"/>
  </hyperlinks>
  <pageMargins left="0.25" right="0.25" top="0.75" bottom="0.75" header="0.3" footer="0.3"/>
  <pageSetup paperSize="9" orientation="landscape" r:id="rId2"/>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80" zoomScaleNormal="100" zoomScalePageLayoutView="80" workbookViewId="0">
      <selection activeCell="D6" sqref="D6"/>
    </sheetView>
  </sheetViews>
  <sheetFormatPr defaultRowHeight="15" customHeight="1" x14ac:dyDescent="0.3"/>
  <cols>
    <col min="1" max="1" width="2.6640625" style="2" customWidth="1"/>
    <col min="2" max="4" width="5.33203125" style="2" customWidth="1"/>
    <col min="5" max="5" width="8" style="2" customWidth="1"/>
    <col min="6" max="7" width="5.33203125" style="2" customWidth="1"/>
    <col min="8" max="8" width="12.44140625" style="2" customWidth="1"/>
    <col min="9" max="9" width="5.33203125" style="2" customWidth="1"/>
    <col min="10" max="10" width="7.6640625" style="2" customWidth="1"/>
    <col min="11" max="11" width="9.33203125" style="2" customWidth="1"/>
    <col min="12" max="12" width="7.6640625" style="2" customWidth="1"/>
    <col min="13" max="13" width="4.33203125" style="2" customWidth="1"/>
    <col min="14" max="19" width="7.6640625" style="2" customWidth="1"/>
    <col min="20" max="20" width="9.33203125" style="2" customWidth="1"/>
    <col min="21" max="21" width="3.109375" style="2" customWidth="1"/>
    <col min="22" max="270" width="7.6640625" style="2" customWidth="1"/>
    <col min="271" max="271" width="14.33203125" style="2" customWidth="1"/>
    <col min="272" max="272" width="4" style="2" customWidth="1"/>
    <col min="273" max="273" width="14.33203125" style="2" customWidth="1"/>
    <col min="274" max="274" width="4" style="2" customWidth="1"/>
    <col min="275" max="526" width="7.6640625" style="2" customWidth="1"/>
    <col min="527" max="527" width="14.33203125" style="2" customWidth="1"/>
    <col min="528" max="528" width="4" style="2" customWidth="1"/>
    <col min="529" max="529" width="14.33203125" style="2" customWidth="1"/>
    <col min="530" max="530" width="4" style="2" customWidth="1"/>
    <col min="531" max="782" width="7.6640625" style="2" customWidth="1"/>
    <col min="783" max="783" width="14.33203125" style="2" customWidth="1"/>
    <col min="784" max="784" width="4" style="2" customWidth="1"/>
    <col min="785" max="785" width="14.33203125" style="2" customWidth="1"/>
    <col min="786" max="786" width="4" style="2" customWidth="1"/>
    <col min="787" max="1038" width="7.6640625" style="2" customWidth="1"/>
    <col min="1039" max="1039" width="14.33203125" style="2" customWidth="1"/>
    <col min="1040" max="1040" width="4" style="2" customWidth="1"/>
    <col min="1041" max="1041" width="14.33203125" style="2" customWidth="1"/>
    <col min="1042" max="1042" width="4" style="2" customWidth="1"/>
    <col min="1043" max="1294" width="7.6640625" style="2" customWidth="1"/>
    <col min="1295" max="1295" width="14.33203125" style="2" customWidth="1"/>
    <col min="1296" max="1296" width="4" style="2" customWidth="1"/>
    <col min="1297" max="1297" width="14.33203125" style="2" customWidth="1"/>
    <col min="1298" max="1298" width="4" style="2" customWidth="1"/>
    <col min="1299" max="1550" width="7.6640625" style="2" customWidth="1"/>
    <col min="1551" max="1551" width="14.33203125" style="2" customWidth="1"/>
    <col min="1552" max="1552" width="4" style="2" customWidth="1"/>
    <col min="1553" max="1553" width="14.33203125" style="2" customWidth="1"/>
    <col min="1554" max="1554" width="4" style="2" customWidth="1"/>
    <col min="1555" max="1806" width="7.6640625" style="2" customWidth="1"/>
    <col min="1807" max="1807" width="14.33203125" style="2" customWidth="1"/>
    <col min="1808" max="1808" width="4" style="2" customWidth="1"/>
    <col min="1809" max="1809" width="14.33203125" style="2" customWidth="1"/>
    <col min="1810" max="1810" width="4" style="2" customWidth="1"/>
    <col min="1811" max="2062" width="7.6640625" style="2" customWidth="1"/>
    <col min="2063" max="2063" width="14.33203125" style="2" customWidth="1"/>
    <col min="2064" max="2064" width="4" style="2" customWidth="1"/>
    <col min="2065" max="2065" width="14.33203125" style="2" customWidth="1"/>
    <col min="2066" max="2066" width="4" style="2" customWidth="1"/>
    <col min="2067" max="2318" width="7.6640625" style="2" customWidth="1"/>
    <col min="2319" max="2319" width="14.33203125" style="2" customWidth="1"/>
    <col min="2320" max="2320" width="4" style="2" customWidth="1"/>
    <col min="2321" max="2321" width="14.33203125" style="2" customWidth="1"/>
    <col min="2322" max="2322" width="4" style="2" customWidth="1"/>
    <col min="2323" max="2574" width="7.6640625" style="2" customWidth="1"/>
    <col min="2575" max="2575" width="14.33203125" style="2" customWidth="1"/>
    <col min="2576" max="2576" width="4" style="2" customWidth="1"/>
    <col min="2577" max="2577" width="14.33203125" style="2" customWidth="1"/>
    <col min="2578" max="2578" width="4" style="2" customWidth="1"/>
    <col min="2579" max="2830" width="7.6640625" style="2" customWidth="1"/>
    <col min="2831" max="2831" width="14.33203125" style="2" customWidth="1"/>
    <col min="2832" max="2832" width="4" style="2" customWidth="1"/>
    <col min="2833" max="2833" width="14.33203125" style="2" customWidth="1"/>
    <col min="2834" max="2834" width="4" style="2" customWidth="1"/>
    <col min="2835" max="3086" width="7.6640625" style="2" customWidth="1"/>
    <col min="3087" max="3087" width="14.33203125" style="2" customWidth="1"/>
    <col min="3088" max="3088" width="4" style="2" customWidth="1"/>
    <col min="3089" max="3089" width="14.33203125" style="2" customWidth="1"/>
    <col min="3090" max="3090" width="4" style="2" customWidth="1"/>
    <col min="3091" max="3342" width="7.6640625" style="2" customWidth="1"/>
    <col min="3343" max="3343" width="14.33203125" style="2" customWidth="1"/>
    <col min="3344" max="3344" width="4" style="2" customWidth="1"/>
    <col min="3345" max="3345" width="14.33203125" style="2" customWidth="1"/>
    <col min="3346" max="3346" width="4" style="2" customWidth="1"/>
    <col min="3347" max="3598" width="7.6640625" style="2" customWidth="1"/>
    <col min="3599" max="3599" width="14.33203125" style="2" customWidth="1"/>
    <col min="3600" max="3600" width="4" style="2" customWidth="1"/>
    <col min="3601" max="3601" width="14.33203125" style="2" customWidth="1"/>
    <col min="3602" max="3602" width="4" style="2" customWidth="1"/>
    <col min="3603" max="3854" width="7.6640625" style="2" customWidth="1"/>
    <col min="3855" max="3855" width="14.33203125" style="2" customWidth="1"/>
    <col min="3856" max="3856" width="4" style="2" customWidth="1"/>
    <col min="3857" max="3857" width="14.33203125" style="2" customWidth="1"/>
    <col min="3858" max="3858" width="4" style="2" customWidth="1"/>
    <col min="3859" max="4110" width="7.6640625" style="2" customWidth="1"/>
    <col min="4111" max="4111" width="14.33203125" style="2" customWidth="1"/>
    <col min="4112" max="4112" width="4" style="2" customWidth="1"/>
    <col min="4113" max="4113" width="14.33203125" style="2" customWidth="1"/>
    <col min="4114" max="4114" width="4" style="2" customWidth="1"/>
    <col min="4115" max="4366" width="7.6640625" style="2" customWidth="1"/>
    <col min="4367" max="4367" width="14.33203125" style="2" customWidth="1"/>
    <col min="4368" max="4368" width="4" style="2" customWidth="1"/>
    <col min="4369" max="4369" width="14.33203125" style="2" customWidth="1"/>
    <col min="4370" max="4370" width="4" style="2" customWidth="1"/>
    <col min="4371" max="4622" width="7.6640625" style="2" customWidth="1"/>
    <col min="4623" max="4623" width="14.33203125" style="2" customWidth="1"/>
    <col min="4624" max="4624" width="4" style="2" customWidth="1"/>
    <col min="4625" max="4625" width="14.33203125" style="2" customWidth="1"/>
    <col min="4626" max="4626" width="4" style="2" customWidth="1"/>
    <col min="4627" max="4878" width="7.6640625" style="2" customWidth="1"/>
    <col min="4879" max="4879" width="14.33203125" style="2" customWidth="1"/>
    <col min="4880" max="4880" width="4" style="2" customWidth="1"/>
    <col min="4881" max="4881" width="14.33203125" style="2" customWidth="1"/>
    <col min="4882" max="4882" width="4" style="2" customWidth="1"/>
    <col min="4883" max="5134" width="7.6640625" style="2" customWidth="1"/>
    <col min="5135" max="5135" width="14.33203125" style="2" customWidth="1"/>
    <col min="5136" max="5136" width="4" style="2" customWidth="1"/>
    <col min="5137" max="5137" width="14.33203125" style="2" customWidth="1"/>
    <col min="5138" max="5138" width="4" style="2" customWidth="1"/>
    <col min="5139" max="5390" width="7.6640625" style="2" customWidth="1"/>
    <col min="5391" max="5391" width="14.33203125" style="2" customWidth="1"/>
    <col min="5392" max="5392" width="4" style="2" customWidth="1"/>
    <col min="5393" max="5393" width="14.33203125" style="2" customWidth="1"/>
    <col min="5394" max="5394" width="4" style="2" customWidth="1"/>
    <col min="5395" max="5646" width="7.6640625" style="2" customWidth="1"/>
    <col min="5647" max="5647" width="14.33203125" style="2" customWidth="1"/>
    <col min="5648" max="5648" width="4" style="2" customWidth="1"/>
    <col min="5649" max="5649" width="14.33203125" style="2" customWidth="1"/>
    <col min="5650" max="5650" width="4" style="2" customWidth="1"/>
    <col min="5651" max="5902" width="7.6640625" style="2" customWidth="1"/>
    <col min="5903" max="5903" width="14.33203125" style="2" customWidth="1"/>
    <col min="5904" max="5904" width="4" style="2" customWidth="1"/>
    <col min="5905" max="5905" width="14.33203125" style="2" customWidth="1"/>
    <col min="5906" max="5906" width="4" style="2" customWidth="1"/>
    <col min="5907" max="6158" width="7.6640625" style="2" customWidth="1"/>
    <col min="6159" max="6159" width="14.33203125" style="2" customWidth="1"/>
    <col min="6160" max="6160" width="4" style="2" customWidth="1"/>
    <col min="6161" max="6161" width="14.33203125" style="2" customWidth="1"/>
    <col min="6162" max="6162" width="4" style="2" customWidth="1"/>
    <col min="6163" max="6414" width="7.6640625" style="2" customWidth="1"/>
    <col min="6415" max="6415" width="14.33203125" style="2" customWidth="1"/>
    <col min="6416" max="6416" width="4" style="2" customWidth="1"/>
    <col min="6417" max="6417" width="14.33203125" style="2" customWidth="1"/>
    <col min="6418" max="6418" width="4" style="2" customWidth="1"/>
    <col min="6419" max="6670" width="7.6640625" style="2" customWidth="1"/>
    <col min="6671" max="6671" width="14.33203125" style="2" customWidth="1"/>
    <col min="6672" max="6672" width="4" style="2" customWidth="1"/>
    <col min="6673" max="6673" width="14.33203125" style="2" customWidth="1"/>
    <col min="6674" max="6674" width="4" style="2" customWidth="1"/>
    <col min="6675" max="6926" width="7.6640625" style="2" customWidth="1"/>
    <col min="6927" max="6927" width="14.33203125" style="2" customWidth="1"/>
    <col min="6928" max="6928" width="4" style="2" customWidth="1"/>
    <col min="6929" max="6929" width="14.33203125" style="2" customWidth="1"/>
    <col min="6930" max="6930" width="4" style="2" customWidth="1"/>
    <col min="6931" max="7182" width="7.6640625" style="2" customWidth="1"/>
    <col min="7183" max="7183" width="14.33203125" style="2" customWidth="1"/>
    <col min="7184" max="7184" width="4" style="2" customWidth="1"/>
    <col min="7185" max="7185" width="14.33203125" style="2" customWidth="1"/>
    <col min="7186" max="7186" width="4" style="2" customWidth="1"/>
    <col min="7187" max="7438" width="7.6640625" style="2" customWidth="1"/>
    <col min="7439" max="7439" width="14.33203125" style="2" customWidth="1"/>
    <col min="7440" max="7440" width="4" style="2" customWidth="1"/>
    <col min="7441" max="7441" width="14.33203125" style="2" customWidth="1"/>
    <col min="7442" max="7442" width="4" style="2" customWidth="1"/>
    <col min="7443" max="7694" width="7.6640625" style="2" customWidth="1"/>
    <col min="7695" max="7695" width="14.33203125" style="2" customWidth="1"/>
    <col min="7696" max="7696" width="4" style="2" customWidth="1"/>
    <col min="7697" max="7697" width="14.33203125" style="2" customWidth="1"/>
    <col min="7698" max="7698" width="4" style="2" customWidth="1"/>
    <col min="7699" max="7950" width="7.6640625" style="2" customWidth="1"/>
    <col min="7951" max="7951" width="14.33203125" style="2" customWidth="1"/>
    <col min="7952" max="7952" width="4" style="2" customWidth="1"/>
    <col min="7953" max="7953" width="14.33203125" style="2" customWidth="1"/>
    <col min="7954" max="7954" width="4" style="2" customWidth="1"/>
    <col min="7955" max="8206" width="7.6640625" style="2" customWidth="1"/>
    <col min="8207" max="8207" width="14.33203125" style="2" customWidth="1"/>
    <col min="8208" max="8208" width="4" style="2" customWidth="1"/>
    <col min="8209" max="8209" width="14.33203125" style="2" customWidth="1"/>
    <col min="8210" max="8210" width="4" style="2" customWidth="1"/>
    <col min="8211" max="8462" width="7.6640625" style="2" customWidth="1"/>
    <col min="8463" max="8463" width="14.33203125" style="2" customWidth="1"/>
    <col min="8464" max="8464" width="4" style="2" customWidth="1"/>
    <col min="8465" max="8465" width="14.33203125" style="2" customWidth="1"/>
    <col min="8466" max="8466" width="4" style="2" customWidth="1"/>
    <col min="8467" max="8718" width="7.6640625" style="2" customWidth="1"/>
    <col min="8719" max="8719" width="14.33203125" style="2" customWidth="1"/>
    <col min="8720" max="8720" width="4" style="2" customWidth="1"/>
    <col min="8721" max="8721" width="14.33203125" style="2" customWidth="1"/>
    <col min="8722" max="8722" width="4" style="2" customWidth="1"/>
    <col min="8723" max="8974" width="7.6640625" style="2" customWidth="1"/>
    <col min="8975" max="8975" width="14.33203125" style="2" customWidth="1"/>
    <col min="8976" max="8976" width="4" style="2" customWidth="1"/>
    <col min="8977" max="8977" width="14.33203125" style="2" customWidth="1"/>
    <col min="8978" max="8978" width="4" style="2" customWidth="1"/>
    <col min="8979" max="9230" width="7.6640625" style="2" customWidth="1"/>
    <col min="9231" max="9231" width="14.33203125" style="2" customWidth="1"/>
    <col min="9232" max="9232" width="4" style="2" customWidth="1"/>
    <col min="9233" max="9233" width="14.33203125" style="2" customWidth="1"/>
    <col min="9234" max="9234" width="4" style="2" customWidth="1"/>
    <col min="9235" max="9486" width="7.6640625" style="2" customWidth="1"/>
    <col min="9487" max="9487" width="14.33203125" style="2" customWidth="1"/>
    <col min="9488" max="9488" width="4" style="2" customWidth="1"/>
    <col min="9489" max="9489" width="14.33203125" style="2" customWidth="1"/>
    <col min="9490" max="9490" width="4" style="2" customWidth="1"/>
    <col min="9491" max="9742" width="7.6640625" style="2" customWidth="1"/>
    <col min="9743" max="9743" width="14.33203125" style="2" customWidth="1"/>
    <col min="9744" max="9744" width="4" style="2" customWidth="1"/>
    <col min="9745" max="9745" width="14.33203125" style="2" customWidth="1"/>
    <col min="9746" max="9746" width="4" style="2" customWidth="1"/>
    <col min="9747" max="9998" width="7.6640625" style="2" customWidth="1"/>
    <col min="9999" max="9999" width="14.33203125" style="2" customWidth="1"/>
    <col min="10000" max="10000" width="4" style="2" customWidth="1"/>
    <col min="10001" max="10001" width="14.33203125" style="2" customWidth="1"/>
    <col min="10002" max="10002" width="4" style="2" customWidth="1"/>
    <col min="10003" max="10254" width="7.6640625" style="2" customWidth="1"/>
    <col min="10255" max="10255" width="14.33203125" style="2" customWidth="1"/>
    <col min="10256" max="10256" width="4" style="2" customWidth="1"/>
    <col min="10257" max="10257" width="14.33203125" style="2" customWidth="1"/>
    <col min="10258" max="10258" width="4" style="2" customWidth="1"/>
    <col min="10259" max="10510" width="7.6640625" style="2" customWidth="1"/>
    <col min="10511" max="10511" width="14.33203125" style="2" customWidth="1"/>
    <col min="10512" max="10512" width="4" style="2" customWidth="1"/>
    <col min="10513" max="10513" width="14.33203125" style="2" customWidth="1"/>
    <col min="10514" max="10514" width="4" style="2" customWidth="1"/>
    <col min="10515" max="10766" width="7.6640625" style="2" customWidth="1"/>
    <col min="10767" max="10767" width="14.33203125" style="2" customWidth="1"/>
    <col min="10768" max="10768" width="4" style="2" customWidth="1"/>
    <col min="10769" max="10769" width="14.33203125" style="2" customWidth="1"/>
    <col min="10770" max="10770" width="4" style="2" customWidth="1"/>
    <col min="10771" max="11022" width="7.6640625" style="2" customWidth="1"/>
    <col min="11023" max="11023" width="14.33203125" style="2" customWidth="1"/>
    <col min="11024" max="11024" width="4" style="2" customWidth="1"/>
    <col min="11025" max="11025" width="14.33203125" style="2" customWidth="1"/>
    <col min="11026" max="11026" width="4" style="2" customWidth="1"/>
    <col min="11027" max="11278" width="7.6640625" style="2" customWidth="1"/>
    <col min="11279" max="11279" width="14.33203125" style="2" customWidth="1"/>
    <col min="11280" max="11280" width="4" style="2" customWidth="1"/>
    <col min="11281" max="11281" width="14.33203125" style="2" customWidth="1"/>
    <col min="11282" max="11282" width="4" style="2" customWidth="1"/>
    <col min="11283" max="11534" width="7.6640625" style="2" customWidth="1"/>
    <col min="11535" max="11535" width="14.33203125" style="2" customWidth="1"/>
    <col min="11536" max="11536" width="4" style="2" customWidth="1"/>
    <col min="11537" max="11537" width="14.33203125" style="2" customWidth="1"/>
    <col min="11538" max="11538" width="4" style="2" customWidth="1"/>
    <col min="11539" max="11790" width="7.6640625" style="2" customWidth="1"/>
    <col min="11791" max="11791" width="14.33203125" style="2" customWidth="1"/>
    <col min="11792" max="11792" width="4" style="2" customWidth="1"/>
    <col min="11793" max="11793" width="14.33203125" style="2" customWidth="1"/>
    <col min="11794" max="11794" width="4" style="2" customWidth="1"/>
    <col min="11795" max="12046" width="7.6640625" style="2" customWidth="1"/>
    <col min="12047" max="12047" width="14.33203125" style="2" customWidth="1"/>
    <col min="12048" max="12048" width="4" style="2" customWidth="1"/>
    <col min="12049" max="12049" width="14.33203125" style="2" customWidth="1"/>
    <col min="12050" max="12050" width="4" style="2" customWidth="1"/>
    <col min="12051" max="12302" width="7.6640625" style="2" customWidth="1"/>
    <col min="12303" max="12303" width="14.33203125" style="2" customWidth="1"/>
    <col min="12304" max="12304" width="4" style="2" customWidth="1"/>
    <col min="12305" max="12305" width="14.33203125" style="2" customWidth="1"/>
    <col min="12306" max="12306" width="4" style="2" customWidth="1"/>
    <col min="12307" max="12558" width="7.6640625" style="2" customWidth="1"/>
    <col min="12559" max="12559" width="14.33203125" style="2" customWidth="1"/>
    <col min="12560" max="12560" width="4" style="2" customWidth="1"/>
    <col min="12561" max="12561" width="14.33203125" style="2" customWidth="1"/>
    <col min="12562" max="12562" width="4" style="2" customWidth="1"/>
    <col min="12563" max="12814" width="7.6640625" style="2" customWidth="1"/>
    <col min="12815" max="12815" width="14.33203125" style="2" customWidth="1"/>
    <col min="12816" max="12816" width="4" style="2" customWidth="1"/>
    <col min="12817" max="12817" width="14.33203125" style="2" customWidth="1"/>
    <col min="12818" max="12818" width="4" style="2" customWidth="1"/>
    <col min="12819" max="13070" width="7.6640625" style="2" customWidth="1"/>
    <col min="13071" max="13071" width="14.33203125" style="2" customWidth="1"/>
    <col min="13072" max="13072" width="4" style="2" customWidth="1"/>
    <col min="13073" max="13073" width="14.33203125" style="2" customWidth="1"/>
    <col min="13074" max="13074" width="4" style="2" customWidth="1"/>
    <col min="13075" max="13326" width="7.6640625" style="2" customWidth="1"/>
    <col min="13327" max="13327" width="14.33203125" style="2" customWidth="1"/>
    <col min="13328" max="13328" width="4" style="2" customWidth="1"/>
    <col min="13329" max="13329" width="14.33203125" style="2" customWidth="1"/>
    <col min="13330" max="13330" width="4" style="2" customWidth="1"/>
    <col min="13331" max="13582" width="7.6640625" style="2" customWidth="1"/>
    <col min="13583" max="13583" width="14.33203125" style="2" customWidth="1"/>
    <col min="13584" max="13584" width="4" style="2" customWidth="1"/>
    <col min="13585" max="13585" width="14.33203125" style="2" customWidth="1"/>
    <col min="13586" max="13586" width="4" style="2" customWidth="1"/>
    <col min="13587" max="13838" width="7.6640625" style="2" customWidth="1"/>
    <col min="13839" max="13839" width="14.33203125" style="2" customWidth="1"/>
    <col min="13840" max="13840" width="4" style="2" customWidth="1"/>
    <col min="13841" max="13841" width="14.33203125" style="2" customWidth="1"/>
    <col min="13842" max="13842" width="4" style="2" customWidth="1"/>
    <col min="13843" max="14094" width="7.6640625" style="2" customWidth="1"/>
    <col min="14095" max="14095" width="14.33203125" style="2" customWidth="1"/>
    <col min="14096" max="14096" width="4" style="2" customWidth="1"/>
    <col min="14097" max="14097" width="14.33203125" style="2" customWidth="1"/>
    <col min="14098" max="14098" width="4" style="2" customWidth="1"/>
    <col min="14099" max="14350" width="7.6640625" style="2" customWidth="1"/>
    <col min="14351" max="14351" width="14.33203125" style="2" customWidth="1"/>
    <col min="14352" max="14352" width="4" style="2" customWidth="1"/>
    <col min="14353" max="14353" width="14.33203125" style="2" customWidth="1"/>
    <col min="14354" max="14354" width="4" style="2" customWidth="1"/>
    <col min="14355" max="14606" width="7.6640625" style="2" customWidth="1"/>
    <col min="14607" max="14607" width="14.33203125" style="2" customWidth="1"/>
    <col min="14608" max="14608" width="4" style="2" customWidth="1"/>
    <col min="14609" max="14609" width="14.33203125" style="2" customWidth="1"/>
    <col min="14610" max="14610" width="4" style="2" customWidth="1"/>
    <col min="14611" max="14862" width="7.6640625" style="2" customWidth="1"/>
    <col min="14863" max="14863" width="14.33203125" style="2" customWidth="1"/>
    <col min="14864" max="14864" width="4" style="2" customWidth="1"/>
    <col min="14865" max="14865" width="14.33203125" style="2" customWidth="1"/>
    <col min="14866" max="14866" width="4" style="2" customWidth="1"/>
    <col min="14867" max="15118" width="7.6640625" style="2" customWidth="1"/>
    <col min="15119" max="15119" width="14.33203125" style="2" customWidth="1"/>
    <col min="15120" max="15120" width="4" style="2" customWidth="1"/>
    <col min="15121" max="15121" width="14.33203125" style="2" customWidth="1"/>
    <col min="15122" max="15122" width="4" style="2" customWidth="1"/>
    <col min="15123" max="15374" width="7.6640625" style="2" customWidth="1"/>
    <col min="15375" max="15375" width="14.33203125" style="2" customWidth="1"/>
    <col min="15376" max="15376" width="4" style="2" customWidth="1"/>
    <col min="15377" max="15377" width="14.33203125" style="2" customWidth="1"/>
    <col min="15378" max="15378" width="4" style="2" customWidth="1"/>
    <col min="15379" max="15630" width="7.6640625" style="2" customWidth="1"/>
    <col min="15631" max="15631" width="14.33203125" style="2" customWidth="1"/>
    <col min="15632" max="15632" width="4" style="2" customWidth="1"/>
    <col min="15633" max="15633" width="14.33203125" style="2" customWidth="1"/>
    <col min="15634" max="15634" width="4" style="2" customWidth="1"/>
    <col min="15635" max="15886" width="7.6640625" style="2" customWidth="1"/>
    <col min="15887" max="15887" width="14.33203125" style="2" customWidth="1"/>
    <col min="15888" max="15888" width="4" style="2" customWidth="1"/>
    <col min="15889" max="15889" width="14.33203125" style="2" customWidth="1"/>
    <col min="15890" max="15890" width="4" style="2" customWidth="1"/>
    <col min="15891" max="16142" width="7.6640625" style="2" customWidth="1"/>
    <col min="16143" max="16143" width="14.33203125" style="2" customWidth="1"/>
    <col min="16144" max="16144" width="4" style="2" customWidth="1"/>
    <col min="16145" max="16145" width="14.33203125" style="2" customWidth="1"/>
    <col min="16146" max="16146" width="4" style="2" customWidth="1"/>
    <col min="16147" max="16384" width="7.6640625" style="2" customWidth="1"/>
  </cols>
  <sheetData>
    <row r="1" spans="1:21" ht="15" customHeight="1" x14ac:dyDescent="0.3">
      <c r="A1" s="223"/>
      <c r="B1" s="86"/>
      <c r="C1" s="86"/>
      <c r="D1" s="86"/>
      <c r="E1" s="86"/>
      <c r="F1" s="1"/>
      <c r="G1" s="1"/>
      <c r="H1" s="1"/>
      <c r="I1" s="1"/>
      <c r="J1" s="1"/>
      <c r="K1" s="1"/>
      <c r="L1" s="1"/>
      <c r="M1" s="1"/>
      <c r="N1" s="1"/>
      <c r="O1" s="1"/>
      <c r="P1" s="1"/>
      <c r="Q1" s="1"/>
      <c r="R1" s="1"/>
      <c r="S1" s="1"/>
      <c r="T1" s="1"/>
      <c r="U1" s="1"/>
    </row>
    <row r="2" spans="1:21" ht="15" customHeight="1" x14ac:dyDescent="0.3">
      <c r="A2" s="3"/>
      <c r="B2" s="589" t="s">
        <v>307</v>
      </c>
      <c r="C2" s="10"/>
      <c r="D2" s="10"/>
      <c r="E2" s="10"/>
      <c r="F2" s="3"/>
      <c r="G2" s="3"/>
      <c r="H2" s="589"/>
      <c r="I2" s="3"/>
      <c r="J2" s="3"/>
      <c r="K2" s="3"/>
      <c r="L2" s="3"/>
      <c r="M2" s="3"/>
      <c r="N2" s="3"/>
      <c r="O2" s="3"/>
      <c r="P2" s="3"/>
      <c r="Q2" s="3"/>
      <c r="R2" s="3"/>
      <c r="S2" s="3"/>
      <c r="T2" s="3"/>
      <c r="U2" s="3"/>
    </row>
    <row r="3" spans="1:21" ht="15" customHeight="1" x14ac:dyDescent="0.3">
      <c r="A3" s="3"/>
      <c r="B3" s="739" t="str">
        <f>Overview!$B$7</f>
        <v>Grove Park Drive</v>
      </c>
      <c r="C3" s="10"/>
      <c r="D3" s="10"/>
      <c r="E3" s="10"/>
      <c r="F3" s="3"/>
      <c r="G3" s="3"/>
      <c r="H3" s="739"/>
      <c r="I3" s="3"/>
      <c r="J3" s="3"/>
      <c r="K3" s="3"/>
      <c r="L3" s="3"/>
      <c r="M3" s="3"/>
      <c r="N3" s="3"/>
      <c r="O3" s="3"/>
      <c r="P3" s="3"/>
      <c r="Q3" s="3"/>
      <c r="R3" s="3"/>
      <c r="S3" s="3"/>
      <c r="T3" s="3"/>
      <c r="U3" s="3"/>
    </row>
    <row r="4" spans="1:21" ht="15" customHeight="1" x14ac:dyDescent="0.3">
      <c r="A4" s="3"/>
      <c r="B4" s="213"/>
      <c r="C4" s="3"/>
      <c r="D4" s="3"/>
      <c r="E4" s="3"/>
      <c r="F4" s="3"/>
      <c r="G4" s="3"/>
      <c r="H4" s="3"/>
      <c r="I4" s="3"/>
      <c r="J4" s="3"/>
      <c r="K4" s="3"/>
      <c r="L4" s="3"/>
      <c r="M4" s="3"/>
      <c r="N4" s="3"/>
      <c r="O4" s="3"/>
      <c r="P4" s="3"/>
      <c r="Q4" s="3"/>
      <c r="R4" s="3"/>
      <c r="S4" s="3"/>
      <c r="T4" s="3"/>
      <c r="U4" s="3"/>
    </row>
    <row r="5" spans="1:21" ht="15" customHeight="1" x14ac:dyDescent="0.3">
      <c r="A5" s="3"/>
      <c r="B5" s="14"/>
      <c r="C5" s="3"/>
      <c r="D5" s="3"/>
      <c r="E5" s="3"/>
      <c r="F5" s="3"/>
      <c r="G5" s="3"/>
      <c r="H5" s="3"/>
      <c r="I5" s="3"/>
      <c r="J5" s="3"/>
      <c r="K5" s="3"/>
      <c r="L5" s="3"/>
      <c r="M5" s="3"/>
      <c r="N5" s="3"/>
      <c r="O5" s="3"/>
      <c r="P5" s="3"/>
      <c r="Q5" s="3"/>
      <c r="R5" s="3"/>
      <c r="S5" s="3"/>
      <c r="T5" s="3"/>
      <c r="U5" s="3"/>
    </row>
    <row r="6" spans="1:21" ht="15" customHeight="1" x14ac:dyDescent="0.3">
      <c r="A6" s="3"/>
      <c r="B6" s="720" t="s">
        <v>452</v>
      </c>
      <c r="C6" s="720"/>
      <c r="D6" s="750" t="s">
        <v>451</v>
      </c>
      <c r="E6" s="720"/>
      <c r="F6" s="720"/>
      <c r="G6" s="751"/>
      <c r="H6" s="720"/>
      <c r="I6" s="766" t="s">
        <v>143</v>
      </c>
      <c r="J6" s="720"/>
      <c r="K6" s="758">
        <f>'Scheme Entry - Baseline'!I15</f>
        <v>2011</v>
      </c>
      <c r="L6" s="720"/>
      <c r="P6" s="79"/>
      <c r="Q6" s="79"/>
      <c r="R6" s="79"/>
      <c r="S6" s="79"/>
      <c r="T6" s="79"/>
      <c r="U6" s="79"/>
    </row>
    <row r="7" spans="1:21" ht="15" customHeight="1" x14ac:dyDescent="0.3">
      <c r="A7" s="3"/>
      <c r="B7" s="720"/>
      <c r="C7" s="753"/>
      <c r="D7" s="720"/>
      <c r="E7" s="720"/>
      <c r="F7" s="720"/>
      <c r="G7" s="720"/>
      <c r="H7" s="720"/>
      <c r="I7" s="766" t="s">
        <v>100</v>
      </c>
      <c r="J7" s="752"/>
      <c r="K7" s="758">
        <f>'Scheme Entry - Baseline'!I21</f>
        <v>2021</v>
      </c>
      <c r="L7" s="752"/>
      <c r="M7" s="720"/>
      <c r="N7" s="752"/>
      <c r="O7" s="752"/>
      <c r="P7" s="189"/>
      <c r="Q7" s="214"/>
      <c r="R7" s="214"/>
      <c r="S7" s="214"/>
      <c r="T7" s="189"/>
      <c r="U7" s="189"/>
    </row>
    <row r="8" spans="1:21" ht="15" customHeight="1" x14ac:dyDescent="0.3">
      <c r="A8" s="3"/>
      <c r="B8" s="720"/>
      <c r="C8" s="720"/>
      <c r="D8" s="720"/>
      <c r="E8" s="720"/>
      <c r="F8" s="720"/>
      <c r="G8" s="720"/>
      <c r="H8" s="720"/>
      <c r="I8" s="766" t="s">
        <v>144</v>
      </c>
      <c r="J8" s="720"/>
      <c r="K8" s="759">
        <f>VLOOKUP(K11,H16:K20,4,FALSE)</f>
        <v>0.02</v>
      </c>
      <c r="L8" s="752"/>
      <c r="M8" s="720"/>
      <c r="N8" s="752"/>
      <c r="O8" s="752"/>
      <c r="P8" s="189"/>
      <c r="Q8" s="189"/>
      <c r="R8" s="189"/>
      <c r="S8" s="189"/>
      <c r="T8" s="189"/>
      <c r="U8" s="189"/>
    </row>
    <row r="9" spans="1:21" ht="15" customHeight="1" x14ac:dyDescent="0.3">
      <c r="A9" s="3"/>
      <c r="B9" s="720"/>
      <c r="C9" s="720"/>
      <c r="D9" s="720"/>
      <c r="E9" s="720"/>
      <c r="F9" s="720"/>
      <c r="G9" s="720"/>
      <c r="H9" s="720"/>
      <c r="I9" s="750" t="s">
        <v>40</v>
      </c>
      <c r="J9" s="755"/>
      <c r="K9" s="760">
        <f>VLOOKUP(K11,B16:E20,4,FALSE)</f>
        <v>0.95599999999999996</v>
      </c>
      <c r="L9" s="335"/>
      <c r="M9" s="720"/>
      <c r="N9" s="752"/>
      <c r="O9" s="335"/>
      <c r="P9" s="190"/>
      <c r="Q9" s="215"/>
      <c r="R9" s="215"/>
      <c r="S9" s="215"/>
      <c r="T9" s="189"/>
      <c r="U9" s="189"/>
    </row>
    <row r="10" spans="1:21" ht="15" customHeight="1" x14ac:dyDescent="0.3">
      <c r="A10" s="3"/>
      <c r="B10" s="720"/>
      <c r="C10" s="720"/>
      <c r="D10" s="720"/>
      <c r="E10" s="720"/>
      <c r="F10" s="720"/>
      <c r="G10" s="720"/>
      <c r="H10" s="720"/>
      <c r="I10" s="750" t="s">
        <v>39</v>
      </c>
      <c r="J10" s="288"/>
      <c r="K10" s="759">
        <f>K7-K6</f>
        <v>10</v>
      </c>
      <c r="L10" s="335"/>
      <c r="M10" s="720"/>
      <c r="N10" s="752"/>
      <c r="O10" s="335"/>
      <c r="P10" s="190"/>
      <c r="Q10" s="190"/>
      <c r="R10" s="190"/>
      <c r="S10" s="190"/>
      <c r="T10" s="189"/>
      <c r="U10" s="189"/>
    </row>
    <row r="11" spans="1:21" ht="15" customHeight="1" x14ac:dyDescent="0.3">
      <c r="A11" s="3"/>
      <c r="B11" s="720"/>
      <c r="C11" s="720"/>
      <c r="D11" s="720"/>
      <c r="E11" s="720"/>
      <c r="F11" s="720"/>
      <c r="G11" s="720"/>
      <c r="H11" s="720"/>
      <c r="I11" s="720" t="s">
        <v>15</v>
      </c>
      <c r="J11" s="720"/>
      <c r="K11" s="758" t="str">
        <f>Overview!E26</f>
        <v>Motorway</v>
      </c>
      <c r="L11" s="752"/>
      <c r="M11" s="720"/>
      <c r="N11" s="752"/>
      <c r="O11" s="752"/>
      <c r="P11" s="189"/>
      <c r="Q11" s="189"/>
      <c r="R11" s="189"/>
      <c r="S11" s="189"/>
      <c r="T11" s="216"/>
      <c r="U11" s="189"/>
    </row>
    <row r="12" spans="1:21" ht="15" customHeight="1" thickBot="1" x14ac:dyDescent="0.35">
      <c r="A12" s="3"/>
      <c r="B12" s="720"/>
      <c r="C12" s="720"/>
      <c r="D12" s="720"/>
      <c r="E12" s="720"/>
      <c r="F12" s="720"/>
      <c r="G12" s="720"/>
      <c r="H12" s="720"/>
      <c r="I12" s="720"/>
      <c r="J12" s="720"/>
      <c r="K12" s="752"/>
      <c r="L12" s="752"/>
      <c r="M12" s="720"/>
      <c r="N12" s="752"/>
      <c r="O12" s="752"/>
      <c r="P12" s="189"/>
      <c r="Q12" s="189"/>
      <c r="R12" s="189"/>
      <c r="S12" s="189"/>
      <c r="T12" s="216"/>
      <c r="U12" s="189"/>
    </row>
    <row r="13" spans="1:21" ht="15" customHeight="1" thickBot="1" x14ac:dyDescent="0.35">
      <c r="A13" s="22"/>
      <c r="B13" s="756"/>
      <c r="C13" s="720"/>
      <c r="D13" s="720"/>
      <c r="E13" s="3"/>
      <c r="F13" s="3"/>
      <c r="G13" s="3"/>
      <c r="H13" s="3"/>
      <c r="I13" s="754" t="s">
        <v>38</v>
      </c>
      <c r="J13" s="288"/>
      <c r="K13" s="1608">
        <f>(K8*(POWER(K9,K10)))</f>
        <v>1.2752898948202814E-2</v>
      </c>
      <c r="L13" s="1609"/>
      <c r="M13" s="757"/>
      <c r="N13" s="757"/>
      <c r="O13" s="757"/>
      <c r="P13" s="356"/>
      <c r="Q13" s="189"/>
      <c r="R13" s="189"/>
      <c r="S13" s="189"/>
      <c r="T13" s="217"/>
      <c r="U13" s="189"/>
    </row>
    <row r="14" spans="1:21" ht="15" customHeight="1" x14ac:dyDescent="0.3">
      <c r="A14" s="79"/>
      <c r="B14" s="752"/>
      <c r="C14" s="752"/>
      <c r="D14" s="752"/>
      <c r="E14" s="752"/>
      <c r="F14" s="752"/>
      <c r="G14" s="752"/>
      <c r="H14" s="752"/>
      <c r="I14" s="752"/>
      <c r="J14" s="752"/>
      <c r="K14" s="752"/>
      <c r="L14" s="752"/>
      <c r="M14" s="752"/>
      <c r="N14" s="752"/>
      <c r="O14" s="752"/>
      <c r="P14" s="79"/>
      <c r="Q14" s="79"/>
      <c r="R14" s="79"/>
      <c r="S14" s="79"/>
      <c r="T14" s="79"/>
      <c r="U14" s="79"/>
    </row>
    <row r="15" spans="1:21" ht="15" customHeight="1" x14ac:dyDescent="0.3">
      <c r="A15" s="75"/>
      <c r="B15" s="1610" t="s">
        <v>308</v>
      </c>
      <c r="C15" s="1611"/>
      <c r="D15" s="1611"/>
      <c r="E15" s="1612"/>
      <c r="F15" s="752"/>
      <c r="G15" s="752"/>
      <c r="H15" s="1613" t="s">
        <v>310</v>
      </c>
      <c r="I15" s="1614"/>
      <c r="J15" s="1614"/>
      <c r="K15" s="1615"/>
      <c r="L15" s="752"/>
      <c r="M15" s="752"/>
      <c r="N15" s="752"/>
      <c r="O15" s="752"/>
      <c r="P15" s="79"/>
      <c r="Q15" s="79"/>
      <c r="R15" s="79"/>
      <c r="S15" s="79"/>
      <c r="T15" s="79"/>
      <c r="U15" s="79"/>
    </row>
    <row r="16" spans="1:21" ht="15" customHeight="1" x14ac:dyDescent="0.3">
      <c r="A16" s="79"/>
      <c r="B16" s="761" t="s">
        <v>28</v>
      </c>
      <c r="C16" s="752"/>
      <c r="D16" s="752"/>
      <c r="E16" s="762">
        <v>0.95599999999999996</v>
      </c>
      <c r="F16" s="752"/>
      <c r="G16" s="752"/>
      <c r="H16" s="761" t="s">
        <v>28</v>
      </c>
      <c r="I16" s="752"/>
      <c r="J16" s="752"/>
      <c r="K16" s="762">
        <v>0.02</v>
      </c>
      <c r="L16" s="752"/>
      <c r="M16" s="752"/>
      <c r="N16" s="752"/>
      <c r="O16" s="752"/>
      <c r="P16" s="79"/>
      <c r="Q16" s="79"/>
      <c r="R16" s="79"/>
      <c r="S16" s="79"/>
      <c r="T16" s="79"/>
      <c r="U16" s="79"/>
    </row>
    <row r="17" spans="1:21" ht="15" customHeight="1" x14ac:dyDescent="0.3">
      <c r="A17" s="79"/>
      <c r="B17" s="761" t="s">
        <v>303</v>
      </c>
      <c r="C17" s="752"/>
      <c r="D17" s="752"/>
      <c r="E17" s="762">
        <v>0.95899999999999996</v>
      </c>
      <c r="F17" s="752"/>
      <c r="G17" s="752"/>
      <c r="H17" s="761" t="s">
        <v>303</v>
      </c>
      <c r="I17" s="752"/>
      <c r="J17" s="752"/>
      <c r="K17" s="762">
        <v>0.21299999999999999</v>
      </c>
      <c r="L17" s="752"/>
      <c r="M17" s="752"/>
      <c r="N17" s="752"/>
      <c r="O17" s="752"/>
      <c r="P17" s="79"/>
      <c r="Q17" s="79"/>
      <c r="R17" s="79"/>
      <c r="S17" s="79"/>
      <c r="T17" s="79"/>
      <c r="U17" s="79"/>
    </row>
    <row r="18" spans="1:21" ht="15" customHeight="1" x14ac:dyDescent="0.3">
      <c r="A18" s="79"/>
      <c r="B18" s="761" t="s">
        <v>309</v>
      </c>
      <c r="C18" s="752"/>
      <c r="D18" s="752"/>
      <c r="E18" s="762">
        <v>0.95499999999999996</v>
      </c>
      <c r="F18" s="752"/>
      <c r="G18" s="752"/>
      <c r="H18" s="761" t="s">
        <v>309</v>
      </c>
      <c r="I18" s="752"/>
      <c r="J18" s="752"/>
      <c r="K18" s="762">
        <v>0.08</v>
      </c>
      <c r="L18" s="752"/>
      <c r="M18" s="752"/>
      <c r="N18" s="752"/>
      <c r="O18" s="752"/>
      <c r="P18" s="79"/>
      <c r="Q18" s="79"/>
      <c r="R18" s="79"/>
      <c r="S18" s="79"/>
      <c r="T18" s="79"/>
      <c r="U18" s="79"/>
    </row>
    <row r="19" spans="1:21" ht="15" customHeight="1" x14ac:dyDescent="0.3">
      <c r="A19" s="79"/>
      <c r="B19" s="761" t="s">
        <v>304</v>
      </c>
      <c r="C19" s="752"/>
      <c r="D19" s="752"/>
      <c r="E19" s="762">
        <v>0.96699999999999997</v>
      </c>
      <c r="F19" s="752"/>
      <c r="G19" s="752"/>
      <c r="H19" s="761" t="s">
        <v>304</v>
      </c>
      <c r="I19" s="752"/>
      <c r="J19" s="752"/>
      <c r="K19" s="762">
        <v>0.14000000000000001</v>
      </c>
      <c r="L19" s="752"/>
      <c r="M19" s="752"/>
      <c r="N19" s="752"/>
      <c r="O19" s="752"/>
      <c r="P19" s="79"/>
      <c r="Q19" s="79"/>
      <c r="R19" s="79"/>
      <c r="S19" s="79"/>
      <c r="T19" s="79"/>
      <c r="U19" s="79"/>
    </row>
    <row r="20" spans="1:21" ht="15" customHeight="1" x14ac:dyDescent="0.3">
      <c r="A20" s="79"/>
      <c r="B20" s="763" t="s">
        <v>306</v>
      </c>
      <c r="C20" s="764"/>
      <c r="D20" s="764"/>
      <c r="E20" s="765">
        <v>0.95599999999999996</v>
      </c>
      <c r="F20" s="752"/>
      <c r="G20" s="752"/>
      <c r="H20" s="763" t="s">
        <v>306</v>
      </c>
      <c r="I20" s="764"/>
      <c r="J20" s="764"/>
      <c r="K20" s="765">
        <v>3.3000000000000002E-2</v>
      </c>
      <c r="L20" s="752"/>
      <c r="M20" s="752"/>
      <c r="N20" s="752"/>
      <c r="O20" s="752"/>
      <c r="P20" s="79"/>
      <c r="Q20" s="79"/>
      <c r="R20" s="79"/>
      <c r="S20" s="79"/>
      <c r="T20" s="79"/>
      <c r="U20" s="79"/>
    </row>
    <row r="21" spans="1:21" ht="15" customHeight="1" x14ac:dyDescent="0.3">
      <c r="A21" s="79"/>
      <c r="B21" s="79"/>
      <c r="C21" s="79"/>
      <c r="D21" s="79"/>
      <c r="E21" s="259"/>
      <c r="F21" s="79"/>
      <c r="G21" s="79"/>
      <c r="H21" s="79"/>
      <c r="I21" s="79"/>
      <c r="J21" s="79"/>
      <c r="K21" s="259"/>
      <c r="L21" s="79"/>
      <c r="M21" s="79"/>
      <c r="N21" s="79"/>
      <c r="O21" s="79"/>
      <c r="P21" s="79"/>
      <c r="Q21" s="79"/>
      <c r="R21" s="79"/>
      <c r="S21" s="79"/>
      <c r="T21" s="79"/>
      <c r="U21" s="79"/>
    </row>
    <row r="22" spans="1:21" ht="15" customHeight="1" x14ac:dyDescent="0.3">
      <c r="A22" s="79"/>
      <c r="B22" s="79"/>
      <c r="C22" s="79"/>
      <c r="D22" s="79"/>
      <c r="E22" s="259"/>
      <c r="F22" s="79"/>
      <c r="G22" s="79"/>
      <c r="H22" s="79"/>
      <c r="I22" s="79"/>
      <c r="J22" s="79"/>
      <c r="K22" s="259"/>
      <c r="L22" s="79"/>
      <c r="M22" s="79"/>
      <c r="N22" s="79"/>
      <c r="O22" s="79"/>
      <c r="P22" s="79"/>
      <c r="Q22" s="79"/>
      <c r="R22" s="79"/>
      <c r="S22" s="79"/>
      <c r="T22" s="79"/>
      <c r="U22" s="79"/>
    </row>
    <row r="23" spans="1:21" ht="15" customHeight="1" x14ac:dyDescent="0.3">
      <c r="A23" s="79"/>
      <c r="B23" s="79"/>
      <c r="C23" s="79"/>
      <c r="D23" s="79"/>
      <c r="E23" s="259"/>
      <c r="F23" s="79"/>
      <c r="G23" s="79"/>
      <c r="H23" s="79"/>
      <c r="I23" s="79"/>
      <c r="J23" s="79"/>
      <c r="K23" s="259"/>
      <c r="L23" s="79"/>
      <c r="M23" s="79"/>
      <c r="N23" s="79"/>
      <c r="O23" s="79"/>
      <c r="P23" s="79"/>
      <c r="Q23" s="79"/>
      <c r="R23" s="79"/>
      <c r="S23" s="79"/>
      <c r="T23" s="79"/>
      <c r="U23" s="79"/>
    </row>
    <row r="24" spans="1:21" ht="15" customHeight="1" x14ac:dyDescent="0.3">
      <c r="A24" s="79"/>
      <c r="B24" s="79"/>
      <c r="C24" s="79"/>
      <c r="D24" s="79"/>
      <c r="E24" s="259"/>
      <c r="F24" s="79"/>
      <c r="G24" s="79"/>
      <c r="H24" s="79"/>
      <c r="I24" s="79"/>
      <c r="J24" s="79"/>
      <c r="K24" s="259"/>
      <c r="L24" s="79"/>
      <c r="M24" s="79"/>
      <c r="N24" s="79"/>
      <c r="O24" s="79"/>
      <c r="P24" s="79"/>
      <c r="Q24" s="79"/>
      <c r="R24" s="79"/>
      <c r="S24" s="79"/>
      <c r="T24" s="79"/>
      <c r="U24" s="79"/>
    </row>
    <row r="25" spans="1:21" ht="15" customHeight="1" x14ac:dyDescent="0.3">
      <c r="A25" s="79"/>
      <c r="B25" s="79"/>
      <c r="C25" s="79"/>
      <c r="D25" s="79"/>
      <c r="E25" s="259"/>
      <c r="F25" s="79"/>
      <c r="G25" s="79"/>
      <c r="H25" s="79"/>
      <c r="I25" s="79"/>
      <c r="J25" s="79"/>
      <c r="K25" s="259"/>
      <c r="L25" s="79"/>
      <c r="M25" s="79"/>
      <c r="N25" s="79"/>
      <c r="O25" s="79"/>
      <c r="P25" s="79"/>
      <c r="Q25" s="79"/>
      <c r="R25" s="79"/>
      <c r="S25" s="79"/>
      <c r="T25" s="79"/>
      <c r="U25" s="79"/>
    </row>
    <row r="26" spans="1:21" ht="15" customHeight="1" x14ac:dyDescent="0.3">
      <c r="A26" s="79"/>
      <c r="B26" s="79"/>
      <c r="C26" s="79"/>
      <c r="D26" s="79"/>
      <c r="E26" s="259"/>
      <c r="F26" s="79"/>
      <c r="G26" s="79"/>
      <c r="H26" s="79"/>
      <c r="I26" s="79"/>
      <c r="J26" s="79"/>
      <c r="K26" s="259"/>
      <c r="L26" s="79"/>
      <c r="M26" s="79"/>
      <c r="N26" s="79"/>
      <c r="O26" s="79"/>
      <c r="P26" s="79"/>
      <c r="Q26" s="79"/>
      <c r="R26" s="79"/>
      <c r="S26" s="79"/>
      <c r="T26" s="79"/>
      <c r="U26" s="79"/>
    </row>
    <row r="27" spans="1:21" ht="15" customHeight="1" x14ac:dyDescent="0.3">
      <c r="A27" s="79"/>
      <c r="B27" s="79"/>
      <c r="C27" s="79"/>
      <c r="D27" s="79"/>
      <c r="E27" s="259"/>
      <c r="F27" s="79"/>
      <c r="G27" s="79"/>
      <c r="H27" s="79"/>
      <c r="I27" s="79"/>
      <c r="J27" s="79"/>
      <c r="K27" s="259"/>
      <c r="L27" s="79"/>
      <c r="M27" s="79"/>
      <c r="N27" s="79"/>
      <c r="O27" s="79"/>
      <c r="P27" s="79"/>
      <c r="Q27" s="79"/>
      <c r="R27" s="79"/>
      <c r="S27" s="79"/>
      <c r="T27" s="79"/>
      <c r="U27" s="79"/>
    </row>
    <row r="28" spans="1:21" ht="15" customHeight="1" x14ac:dyDescent="0.3">
      <c r="A28" s="79"/>
      <c r="B28" s="79"/>
      <c r="C28" s="79"/>
      <c r="D28" s="79"/>
      <c r="E28" s="259"/>
      <c r="F28" s="79"/>
      <c r="G28" s="79"/>
      <c r="H28" s="79"/>
      <c r="I28" s="79"/>
      <c r="J28" s="79"/>
      <c r="K28" s="259"/>
      <c r="L28" s="79"/>
      <c r="M28" s="79"/>
      <c r="N28" s="79"/>
      <c r="O28" s="79"/>
      <c r="P28" s="79"/>
      <c r="Q28" s="79"/>
      <c r="R28" s="79"/>
      <c r="S28" s="79"/>
      <c r="T28" s="79"/>
      <c r="U28" s="79"/>
    </row>
    <row r="29" spans="1:21" ht="15" customHeight="1" x14ac:dyDescent="0.3">
      <c r="A29" s="79"/>
      <c r="B29" s="79"/>
      <c r="C29" s="79"/>
      <c r="D29" s="79"/>
      <c r="E29" s="79"/>
      <c r="F29" s="79"/>
      <c r="G29" s="79"/>
      <c r="H29" s="79"/>
      <c r="I29" s="79"/>
      <c r="J29" s="79"/>
      <c r="K29" s="79"/>
      <c r="L29" s="79"/>
      <c r="M29" s="79"/>
      <c r="N29" s="79"/>
      <c r="O29" s="79"/>
      <c r="P29" s="79"/>
      <c r="Q29" s="79"/>
      <c r="R29" s="79"/>
      <c r="S29" s="79"/>
      <c r="T29" s="79"/>
      <c r="U29" s="79"/>
    </row>
    <row r="30" spans="1:21" ht="15" customHeight="1" x14ac:dyDescent="0.3">
      <c r="A30" s="79"/>
      <c r="B30" s="79"/>
      <c r="C30" s="79"/>
      <c r="D30" s="79"/>
      <c r="E30" s="79"/>
      <c r="F30" s="79"/>
      <c r="G30" s="79"/>
      <c r="H30" s="79"/>
      <c r="I30" s="79"/>
      <c r="J30" s="79"/>
      <c r="K30" s="79"/>
      <c r="L30" s="79"/>
      <c r="M30" s="79"/>
      <c r="N30" s="79"/>
      <c r="O30" s="79"/>
      <c r="P30" s="79"/>
      <c r="Q30" s="79"/>
      <c r="R30" s="79"/>
      <c r="S30" s="79"/>
      <c r="T30" s="79"/>
      <c r="U30" s="79"/>
    </row>
    <row r="31" spans="1:21" ht="15" customHeight="1" x14ac:dyDescent="0.3">
      <c r="A31" s="79"/>
      <c r="B31" s="79"/>
      <c r="C31" s="79"/>
      <c r="D31" s="79"/>
      <c r="E31" s="79"/>
      <c r="F31" s="79"/>
      <c r="G31" s="79"/>
      <c r="H31" s="79"/>
      <c r="I31" s="79"/>
      <c r="J31" s="79"/>
      <c r="K31" s="79"/>
      <c r="L31" s="79"/>
      <c r="M31" s="79"/>
      <c r="N31" s="79"/>
      <c r="O31" s="79"/>
      <c r="P31" s="79"/>
      <c r="Q31" s="79"/>
      <c r="R31" s="79"/>
      <c r="S31" s="79"/>
      <c r="T31" s="79"/>
      <c r="U31" s="79"/>
    </row>
    <row r="32" spans="1:21" ht="16.8" customHeight="1" x14ac:dyDescent="0.3">
      <c r="A32" s="15"/>
      <c r="B32" s="15"/>
      <c r="C32" s="15"/>
      <c r="D32" s="15"/>
      <c r="E32" s="15"/>
      <c r="F32" s="15"/>
      <c r="G32" s="15"/>
      <c r="H32" s="15"/>
      <c r="I32" s="15"/>
      <c r="J32" s="15"/>
      <c r="K32" s="15"/>
      <c r="L32" s="15"/>
      <c r="M32" s="15"/>
      <c r="N32" s="15"/>
      <c r="O32" s="15"/>
      <c r="P32" s="15"/>
      <c r="Q32" s="15"/>
      <c r="R32" s="15"/>
      <c r="S32" s="15"/>
      <c r="T32" s="15"/>
      <c r="U32" s="15"/>
    </row>
  </sheetData>
  <mergeCells count="3">
    <mergeCell ref="K13:L13"/>
    <mergeCell ref="B15:E15"/>
    <mergeCell ref="H15:K15"/>
  </mergeCells>
  <dataValidations disablePrompts="1" count="4">
    <dataValidation allowBlank="1" showInputMessage="1" showErrorMessage="1" prompt="53.347901" sqref="JK65492 TG65492 ADC65492 AMY65492 AWU65492 BGQ65492 BQM65492 CAI65492 CKE65492 CUA65492 DDW65492 DNS65492 DXO65492 EHK65492 ERG65492 FBC65492 FKY65492 FUU65492 GEQ65492 GOM65492 GYI65492 HIE65492 HSA65492 IBW65492 ILS65492 IVO65492 JFK65492 JPG65492 JZC65492 KIY65492 KSU65492 LCQ65492 LMM65492 LWI65492 MGE65492 MQA65492 MZW65492 NJS65492 NTO65492 ODK65492 ONG65492 OXC65492 PGY65492 PQU65492 QAQ65492 QKM65492 QUI65492 REE65492 ROA65492 RXW65492 SHS65492 SRO65492 TBK65492 TLG65492 TVC65492 UEY65492 UOU65492 UYQ65492 VIM65492 VSI65492 WCE65492 WMA65492 WVW65492 JK131028 TG131028 ADC131028 AMY131028 AWU131028 BGQ131028 BQM131028 CAI131028 CKE131028 CUA131028 DDW131028 DNS131028 DXO131028 EHK131028 ERG131028 FBC131028 FKY131028 FUU131028 GEQ131028 GOM131028 GYI131028 HIE131028 HSA131028 IBW131028 ILS131028 IVO131028 JFK131028 JPG131028 JZC131028 KIY131028 KSU131028 LCQ131028 LMM131028 LWI131028 MGE131028 MQA131028 MZW131028 NJS131028 NTO131028 ODK131028 ONG131028 OXC131028 PGY131028 PQU131028 QAQ131028 QKM131028 QUI131028 REE131028 ROA131028 RXW131028 SHS131028 SRO131028 TBK131028 TLG131028 TVC131028 UEY131028 UOU131028 UYQ131028 VIM131028 VSI131028 WCE131028 WMA131028 WVW131028 JK196564 TG196564 ADC196564 AMY196564 AWU196564 BGQ196564 BQM196564 CAI196564 CKE196564 CUA196564 DDW196564 DNS196564 DXO196564 EHK196564 ERG196564 FBC196564 FKY196564 FUU196564 GEQ196564 GOM196564 GYI196564 HIE196564 HSA196564 IBW196564 ILS196564 IVO196564 JFK196564 JPG196564 JZC196564 KIY196564 KSU196564 LCQ196564 LMM196564 LWI196564 MGE196564 MQA196564 MZW196564 NJS196564 NTO196564 ODK196564 ONG196564 OXC196564 PGY196564 PQU196564 QAQ196564 QKM196564 QUI196564 REE196564 ROA196564 RXW196564 SHS196564 SRO196564 TBK196564 TLG196564 TVC196564 UEY196564 UOU196564 UYQ196564 VIM196564 VSI196564 WCE196564 WMA196564 WVW196564 JK262100 TG262100 ADC262100 AMY262100 AWU262100 BGQ262100 BQM262100 CAI262100 CKE262100 CUA262100 DDW262100 DNS262100 DXO262100 EHK262100 ERG262100 FBC262100 FKY262100 FUU262100 GEQ262100 GOM262100 GYI262100 HIE262100 HSA262100 IBW262100 ILS262100 IVO262100 JFK262100 JPG262100 JZC262100 KIY262100 KSU262100 LCQ262100 LMM262100 LWI262100 MGE262100 MQA262100 MZW262100 NJS262100 NTO262100 ODK262100 ONG262100 OXC262100 PGY262100 PQU262100 QAQ262100 QKM262100 QUI262100 REE262100 ROA262100 RXW262100 SHS262100 SRO262100 TBK262100 TLG262100 TVC262100 UEY262100 UOU262100 UYQ262100 VIM262100 VSI262100 WCE262100 WMA262100 WVW262100 JK327636 TG327636 ADC327636 AMY327636 AWU327636 BGQ327636 BQM327636 CAI327636 CKE327636 CUA327636 DDW327636 DNS327636 DXO327636 EHK327636 ERG327636 FBC327636 FKY327636 FUU327636 GEQ327636 GOM327636 GYI327636 HIE327636 HSA327636 IBW327636 ILS327636 IVO327636 JFK327636 JPG327636 JZC327636 KIY327636 KSU327636 LCQ327636 LMM327636 LWI327636 MGE327636 MQA327636 MZW327636 NJS327636 NTO327636 ODK327636 ONG327636 OXC327636 PGY327636 PQU327636 QAQ327636 QKM327636 QUI327636 REE327636 ROA327636 RXW327636 SHS327636 SRO327636 TBK327636 TLG327636 TVC327636 UEY327636 UOU327636 UYQ327636 VIM327636 VSI327636 WCE327636 WMA327636 WVW327636 JK393172 TG393172 ADC393172 AMY393172 AWU393172 BGQ393172 BQM393172 CAI393172 CKE393172 CUA393172 DDW393172 DNS393172 DXO393172 EHK393172 ERG393172 FBC393172 FKY393172 FUU393172 GEQ393172 GOM393172 GYI393172 HIE393172 HSA393172 IBW393172 ILS393172 IVO393172 JFK393172 JPG393172 JZC393172 KIY393172 KSU393172 LCQ393172 LMM393172 LWI393172 MGE393172 MQA393172 MZW393172 NJS393172 NTO393172 ODK393172 ONG393172 OXC393172 PGY393172 PQU393172 QAQ393172 QKM393172 QUI393172 REE393172 ROA393172 RXW393172 SHS393172 SRO393172 TBK393172 TLG393172 TVC393172 UEY393172 UOU393172 UYQ393172 VIM393172 VSI393172 WCE393172 WMA393172 WVW393172 JK458708 TG458708 ADC458708 AMY458708 AWU458708 BGQ458708 BQM458708 CAI458708 CKE458708 CUA458708 DDW458708 DNS458708 DXO458708 EHK458708 ERG458708 FBC458708 FKY458708 FUU458708 GEQ458708 GOM458708 GYI458708 HIE458708 HSA458708 IBW458708 ILS458708 IVO458708 JFK458708 JPG458708 JZC458708 KIY458708 KSU458708 LCQ458708 LMM458708 LWI458708 MGE458708 MQA458708 MZW458708 NJS458708 NTO458708 ODK458708 ONG458708 OXC458708 PGY458708 PQU458708 QAQ458708 QKM458708 QUI458708 REE458708 ROA458708 RXW458708 SHS458708 SRO458708 TBK458708 TLG458708 TVC458708 UEY458708 UOU458708 UYQ458708 VIM458708 VSI458708 WCE458708 WMA458708 WVW458708 JK524244 TG524244 ADC524244 AMY524244 AWU524244 BGQ524244 BQM524244 CAI524244 CKE524244 CUA524244 DDW524244 DNS524244 DXO524244 EHK524244 ERG524244 FBC524244 FKY524244 FUU524244 GEQ524244 GOM524244 GYI524244 HIE524244 HSA524244 IBW524244 ILS524244 IVO524244 JFK524244 JPG524244 JZC524244 KIY524244 KSU524244 LCQ524244 LMM524244 LWI524244 MGE524244 MQA524244 MZW524244 NJS524244 NTO524244 ODK524244 ONG524244 OXC524244 PGY524244 PQU524244 QAQ524244 QKM524244 QUI524244 REE524244 ROA524244 RXW524244 SHS524244 SRO524244 TBK524244 TLG524244 TVC524244 UEY524244 UOU524244 UYQ524244 VIM524244 VSI524244 WCE524244 WMA524244 WVW524244 JK589780 TG589780 ADC589780 AMY589780 AWU589780 BGQ589780 BQM589780 CAI589780 CKE589780 CUA589780 DDW589780 DNS589780 DXO589780 EHK589780 ERG589780 FBC589780 FKY589780 FUU589780 GEQ589780 GOM589780 GYI589780 HIE589780 HSA589780 IBW589780 ILS589780 IVO589780 JFK589780 JPG589780 JZC589780 KIY589780 KSU589780 LCQ589780 LMM589780 LWI589780 MGE589780 MQA589780 MZW589780 NJS589780 NTO589780 ODK589780 ONG589780 OXC589780 PGY589780 PQU589780 QAQ589780 QKM589780 QUI589780 REE589780 ROA589780 RXW589780 SHS589780 SRO589780 TBK589780 TLG589780 TVC589780 UEY589780 UOU589780 UYQ589780 VIM589780 VSI589780 WCE589780 WMA589780 WVW589780 JK655316 TG655316 ADC655316 AMY655316 AWU655316 BGQ655316 BQM655316 CAI655316 CKE655316 CUA655316 DDW655316 DNS655316 DXO655316 EHK655316 ERG655316 FBC655316 FKY655316 FUU655316 GEQ655316 GOM655316 GYI655316 HIE655316 HSA655316 IBW655316 ILS655316 IVO655316 JFK655316 JPG655316 JZC655316 KIY655316 KSU655316 LCQ655316 LMM655316 LWI655316 MGE655316 MQA655316 MZW655316 NJS655316 NTO655316 ODK655316 ONG655316 OXC655316 PGY655316 PQU655316 QAQ655316 QKM655316 QUI655316 REE655316 ROA655316 RXW655316 SHS655316 SRO655316 TBK655316 TLG655316 TVC655316 UEY655316 UOU655316 UYQ655316 VIM655316 VSI655316 WCE655316 WMA655316 WVW655316 JK720852 TG720852 ADC720852 AMY720852 AWU720852 BGQ720852 BQM720852 CAI720852 CKE720852 CUA720852 DDW720852 DNS720852 DXO720852 EHK720852 ERG720852 FBC720852 FKY720852 FUU720852 GEQ720852 GOM720852 GYI720852 HIE720852 HSA720852 IBW720852 ILS720852 IVO720852 JFK720852 JPG720852 JZC720852 KIY720852 KSU720852 LCQ720852 LMM720852 LWI720852 MGE720852 MQA720852 MZW720852 NJS720852 NTO720852 ODK720852 ONG720852 OXC720852 PGY720852 PQU720852 QAQ720852 QKM720852 QUI720852 REE720852 ROA720852 RXW720852 SHS720852 SRO720852 TBK720852 TLG720852 TVC720852 UEY720852 UOU720852 UYQ720852 VIM720852 VSI720852 WCE720852 WMA720852 WVW720852 JK786388 TG786388 ADC786388 AMY786388 AWU786388 BGQ786388 BQM786388 CAI786388 CKE786388 CUA786388 DDW786388 DNS786388 DXO786388 EHK786388 ERG786388 FBC786388 FKY786388 FUU786388 GEQ786388 GOM786388 GYI786388 HIE786388 HSA786388 IBW786388 ILS786388 IVO786388 JFK786388 JPG786388 JZC786388 KIY786388 KSU786388 LCQ786388 LMM786388 LWI786388 MGE786388 MQA786388 MZW786388 NJS786388 NTO786388 ODK786388 ONG786388 OXC786388 PGY786388 PQU786388 QAQ786388 QKM786388 QUI786388 REE786388 ROA786388 RXW786388 SHS786388 SRO786388 TBK786388 TLG786388 TVC786388 UEY786388 UOU786388 UYQ786388 VIM786388 VSI786388 WCE786388 WMA786388 WVW786388 JK851924 TG851924 ADC851924 AMY851924 AWU851924 BGQ851924 BQM851924 CAI851924 CKE851924 CUA851924 DDW851924 DNS851924 DXO851924 EHK851924 ERG851924 FBC851924 FKY851924 FUU851924 GEQ851924 GOM851924 GYI851924 HIE851924 HSA851924 IBW851924 ILS851924 IVO851924 JFK851924 JPG851924 JZC851924 KIY851924 KSU851924 LCQ851924 LMM851924 LWI851924 MGE851924 MQA851924 MZW851924 NJS851924 NTO851924 ODK851924 ONG851924 OXC851924 PGY851924 PQU851924 QAQ851924 QKM851924 QUI851924 REE851924 ROA851924 RXW851924 SHS851924 SRO851924 TBK851924 TLG851924 TVC851924 UEY851924 UOU851924 UYQ851924 VIM851924 VSI851924 WCE851924 WMA851924 WVW851924 JK917460 TG917460 ADC917460 AMY917460 AWU917460 BGQ917460 BQM917460 CAI917460 CKE917460 CUA917460 DDW917460 DNS917460 DXO917460 EHK917460 ERG917460 FBC917460 FKY917460 FUU917460 GEQ917460 GOM917460 GYI917460 HIE917460 HSA917460 IBW917460 ILS917460 IVO917460 JFK917460 JPG917460 JZC917460 KIY917460 KSU917460 LCQ917460 LMM917460 LWI917460 MGE917460 MQA917460 MZW917460 NJS917460 NTO917460 ODK917460 ONG917460 OXC917460 PGY917460 PQU917460 QAQ917460 QKM917460 QUI917460 REE917460 ROA917460 RXW917460 SHS917460 SRO917460 TBK917460 TLG917460 TVC917460 UEY917460 UOU917460 UYQ917460 VIM917460 VSI917460 WCE917460 WMA917460 WVW917460 JK982996 TG982996 ADC982996 AMY982996 AWU982996 BGQ982996 BQM982996 CAI982996 CKE982996 CUA982996 DDW982996 DNS982996 DXO982996 EHK982996 ERG982996 FBC982996 FKY982996 FUU982996 GEQ982996 GOM982996 GYI982996 HIE982996 HSA982996 IBW982996 ILS982996 IVO982996 JFK982996 JPG982996 JZC982996 KIY982996 KSU982996 LCQ982996 LMM982996 LWI982996 MGE982996 MQA982996 MZW982996 NJS982996 NTO982996 ODK982996 ONG982996 OXC982996 PGY982996 PQU982996 QAQ982996 QKM982996 QUI982996 REE982996 ROA982996 RXW982996 SHS982996 SRO982996 TBK982996 TLG982996 TVC982996 UEY982996 UOU982996 UYQ982996 VIM982996 VSI982996 WCE982996 WMA982996 WVW982996"/>
    <dataValidation allowBlank="1" showInputMessage="1" showErrorMessage="1" prompt="-6.294484" sqref="JM65492 TI65492 ADE65492 ANA65492 AWW65492 BGS65492 BQO65492 CAK65492 CKG65492 CUC65492 DDY65492 DNU65492 DXQ65492 EHM65492 ERI65492 FBE65492 FLA65492 FUW65492 GES65492 GOO65492 GYK65492 HIG65492 HSC65492 IBY65492 ILU65492 IVQ65492 JFM65492 JPI65492 JZE65492 KJA65492 KSW65492 LCS65492 LMO65492 LWK65492 MGG65492 MQC65492 MZY65492 NJU65492 NTQ65492 ODM65492 ONI65492 OXE65492 PHA65492 PQW65492 QAS65492 QKO65492 QUK65492 REG65492 ROC65492 RXY65492 SHU65492 SRQ65492 TBM65492 TLI65492 TVE65492 UFA65492 UOW65492 UYS65492 VIO65492 VSK65492 WCG65492 WMC65492 WVY65492 JM131028 TI131028 ADE131028 ANA131028 AWW131028 BGS131028 BQO131028 CAK131028 CKG131028 CUC131028 DDY131028 DNU131028 DXQ131028 EHM131028 ERI131028 FBE131028 FLA131028 FUW131028 GES131028 GOO131028 GYK131028 HIG131028 HSC131028 IBY131028 ILU131028 IVQ131028 JFM131028 JPI131028 JZE131028 KJA131028 KSW131028 LCS131028 LMO131028 LWK131028 MGG131028 MQC131028 MZY131028 NJU131028 NTQ131028 ODM131028 ONI131028 OXE131028 PHA131028 PQW131028 QAS131028 QKO131028 QUK131028 REG131028 ROC131028 RXY131028 SHU131028 SRQ131028 TBM131028 TLI131028 TVE131028 UFA131028 UOW131028 UYS131028 VIO131028 VSK131028 WCG131028 WMC131028 WVY131028 JM196564 TI196564 ADE196564 ANA196564 AWW196564 BGS196564 BQO196564 CAK196564 CKG196564 CUC196564 DDY196564 DNU196564 DXQ196564 EHM196564 ERI196564 FBE196564 FLA196564 FUW196564 GES196564 GOO196564 GYK196564 HIG196564 HSC196564 IBY196564 ILU196564 IVQ196564 JFM196564 JPI196564 JZE196564 KJA196564 KSW196564 LCS196564 LMO196564 LWK196564 MGG196564 MQC196564 MZY196564 NJU196564 NTQ196564 ODM196564 ONI196564 OXE196564 PHA196564 PQW196564 QAS196564 QKO196564 QUK196564 REG196564 ROC196564 RXY196564 SHU196564 SRQ196564 TBM196564 TLI196564 TVE196564 UFA196564 UOW196564 UYS196564 VIO196564 VSK196564 WCG196564 WMC196564 WVY196564 JM262100 TI262100 ADE262100 ANA262100 AWW262100 BGS262100 BQO262100 CAK262100 CKG262100 CUC262100 DDY262100 DNU262100 DXQ262100 EHM262100 ERI262100 FBE262100 FLA262100 FUW262100 GES262100 GOO262100 GYK262100 HIG262100 HSC262100 IBY262100 ILU262100 IVQ262100 JFM262100 JPI262100 JZE262100 KJA262100 KSW262100 LCS262100 LMO262100 LWK262100 MGG262100 MQC262100 MZY262100 NJU262100 NTQ262100 ODM262100 ONI262100 OXE262100 PHA262100 PQW262100 QAS262100 QKO262100 QUK262100 REG262100 ROC262100 RXY262100 SHU262100 SRQ262100 TBM262100 TLI262100 TVE262100 UFA262100 UOW262100 UYS262100 VIO262100 VSK262100 WCG262100 WMC262100 WVY262100 JM327636 TI327636 ADE327636 ANA327636 AWW327636 BGS327636 BQO327636 CAK327636 CKG327636 CUC327636 DDY327636 DNU327636 DXQ327636 EHM327636 ERI327636 FBE327636 FLA327636 FUW327636 GES327636 GOO327636 GYK327636 HIG327636 HSC327636 IBY327636 ILU327636 IVQ327636 JFM327636 JPI327636 JZE327636 KJA327636 KSW327636 LCS327636 LMO327636 LWK327636 MGG327636 MQC327636 MZY327636 NJU327636 NTQ327636 ODM327636 ONI327636 OXE327636 PHA327636 PQW327636 QAS327636 QKO327636 QUK327636 REG327636 ROC327636 RXY327636 SHU327636 SRQ327636 TBM327636 TLI327636 TVE327636 UFA327636 UOW327636 UYS327636 VIO327636 VSK327636 WCG327636 WMC327636 WVY327636 JM393172 TI393172 ADE393172 ANA393172 AWW393172 BGS393172 BQO393172 CAK393172 CKG393172 CUC393172 DDY393172 DNU393172 DXQ393172 EHM393172 ERI393172 FBE393172 FLA393172 FUW393172 GES393172 GOO393172 GYK393172 HIG393172 HSC393172 IBY393172 ILU393172 IVQ393172 JFM393172 JPI393172 JZE393172 KJA393172 KSW393172 LCS393172 LMO393172 LWK393172 MGG393172 MQC393172 MZY393172 NJU393172 NTQ393172 ODM393172 ONI393172 OXE393172 PHA393172 PQW393172 QAS393172 QKO393172 QUK393172 REG393172 ROC393172 RXY393172 SHU393172 SRQ393172 TBM393172 TLI393172 TVE393172 UFA393172 UOW393172 UYS393172 VIO393172 VSK393172 WCG393172 WMC393172 WVY393172 JM458708 TI458708 ADE458708 ANA458708 AWW458708 BGS458708 BQO458708 CAK458708 CKG458708 CUC458708 DDY458708 DNU458708 DXQ458708 EHM458708 ERI458708 FBE458708 FLA458708 FUW458708 GES458708 GOO458708 GYK458708 HIG458708 HSC458708 IBY458708 ILU458708 IVQ458708 JFM458708 JPI458708 JZE458708 KJA458708 KSW458708 LCS458708 LMO458708 LWK458708 MGG458708 MQC458708 MZY458708 NJU458708 NTQ458708 ODM458708 ONI458708 OXE458708 PHA458708 PQW458708 QAS458708 QKO458708 QUK458708 REG458708 ROC458708 RXY458708 SHU458708 SRQ458708 TBM458708 TLI458708 TVE458708 UFA458708 UOW458708 UYS458708 VIO458708 VSK458708 WCG458708 WMC458708 WVY458708 JM524244 TI524244 ADE524244 ANA524244 AWW524244 BGS524244 BQO524244 CAK524244 CKG524244 CUC524244 DDY524244 DNU524244 DXQ524244 EHM524244 ERI524244 FBE524244 FLA524244 FUW524244 GES524244 GOO524244 GYK524244 HIG524244 HSC524244 IBY524244 ILU524244 IVQ524244 JFM524244 JPI524244 JZE524244 KJA524244 KSW524244 LCS524244 LMO524244 LWK524244 MGG524244 MQC524244 MZY524244 NJU524244 NTQ524244 ODM524244 ONI524244 OXE524244 PHA524244 PQW524244 QAS524244 QKO524244 QUK524244 REG524244 ROC524244 RXY524244 SHU524244 SRQ524244 TBM524244 TLI524244 TVE524244 UFA524244 UOW524244 UYS524244 VIO524244 VSK524244 WCG524244 WMC524244 WVY524244 JM589780 TI589780 ADE589780 ANA589780 AWW589780 BGS589780 BQO589780 CAK589780 CKG589780 CUC589780 DDY589780 DNU589780 DXQ589780 EHM589780 ERI589780 FBE589780 FLA589780 FUW589780 GES589780 GOO589780 GYK589780 HIG589780 HSC589780 IBY589780 ILU589780 IVQ589780 JFM589780 JPI589780 JZE589780 KJA589780 KSW589780 LCS589780 LMO589780 LWK589780 MGG589780 MQC589780 MZY589780 NJU589780 NTQ589780 ODM589780 ONI589780 OXE589780 PHA589780 PQW589780 QAS589780 QKO589780 QUK589780 REG589780 ROC589780 RXY589780 SHU589780 SRQ589780 TBM589780 TLI589780 TVE589780 UFA589780 UOW589780 UYS589780 VIO589780 VSK589780 WCG589780 WMC589780 WVY589780 JM655316 TI655316 ADE655316 ANA655316 AWW655316 BGS655316 BQO655316 CAK655316 CKG655316 CUC655316 DDY655316 DNU655316 DXQ655316 EHM655316 ERI655316 FBE655316 FLA655316 FUW655316 GES655316 GOO655316 GYK655316 HIG655316 HSC655316 IBY655316 ILU655316 IVQ655316 JFM655316 JPI655316 JZE655316 KJA655316 KSW655316 LCS655316 LMO655316 LWK655316 MGG655316 MQC655316 MZY655316 NJU655316 NTQ655316 ODM655316 ONI655316 OXE655316 PHA655316 PQW655316 QAS655316 QKO655316 QUK655316 REG655316 ROC655316 RXY655316 SHU655316 SRQ655316 TBM655316 TLI655316 TVE655316 UFA655316 UOW655316 UYS655316 VIO655316 VSK655316 WCG655316 WMC655316 WVY655316 JM720852 TI720852 ADE720852 ANA720852 AWW720852 BGS720852 BQO720852 CAK720852 CKG720852 CUC720852 DDY720852 DNU720852 DXQ720852 EHM720852 ERI720852 FBE720852 FLA720852 FUW720852 GES720852 GOO720852 GYK720852 HIG720852 HSC720852 IBY720852 ILU720852 IVQ720852 JFM720852 JPI720852 JZE720852 KJA720852 KSW720852 LCS720852 LMO720852 LWK720852 MGG720852 MQC720852 MZY720852 NJU720852 NTQ720852 ODM720852 ONI720852 OXE720852 PHA720852 PQW720852 QAS720852 QKO720852 QUK720852 REG720852 ROC720852 RXY720852 SHU720852 SRQ720852 TBM720852 TLI720852 TVE720852 UFA720852 UOW720852 UYS720852 VIO720852 VSK720852 WCG720852 WMC720852 WVY720852 JM786388 TI786388 ADE786388 ANA786388 AWW786388 BGS786388 BQO786388 CAK786388 CKG786388 CUC786388 DDY786388 DNU786388 DXQ786388 EHM786388 ERI786388 FBE786388 FLA786388 FUW786388 GES786388 GOO786388 GYK786388 HIG786388 HSC786388 IBY786388 ILU786388 IVQ786388 JFM786388 JPI786388 JZE786388 KJA786388 KSW786388 LCS786388 LMO786388 LWK786388 MGG786388 MQC786388 MZY786388 NJU786388 NTQ786388 ODM786388 ONI786388 OXE786388 PHA786388 PQW786388 QAS786388 QKO786388 QUK786388 REG786388 ROC786388 RXY786388 SHU786388 SRQ786388 TBM786388 TLI786388 TVE786388 UFA786388 UOW786388 UYS786388 VIO786388 VSK786388 WCG786388 WMC786388 WVY786388 JM851924 TI851924 ADE851924 ANA851924 AWW851924 BGS851924 BQO851924 CAK851924 CKG851924 CUC851924 DDY851924 DNU851924 DXQ851924 EHM851924 ERI851924 FBE851924 FLA851924 FUW851924 GES851924 GOO851924 GYK851924 HIG851924 HSC851924 IBY851924 ILU851924 IVQ851924 JFM851924 JPI851924 JZE851924 KJA851924 KSW851924 LCS851924 LMO851924 LWK851924 MGG851924 MQC851924 MZY851924 NJU851924 NTQ851924 ODM851924 ONI851924 OXE851924 PHA851924 PQW851924 QAS851924 QKO851924 QUK851924 REG851924 ROC851924 RXY851924 SHU851924 SRQ851924 TBM851924 TLI851924 TVE851924 UFA851924 UOW851924 UYS851924 VIO851924 VSK851924 WCG851924 WMC851924 WVY851924 JM917460 TI917460 ADE917460 ANA917460 AWW917460 BGS917460 BQO917460 CAK917460 CKG917460 CUC917460 DDY917460 DNU917460 DXQ917460 EHM917460 ERI917460 FBE917460 FLA917460 FUW917460 GES917460 GOO917460 GYK917460 HIG917460 HSC917460 IBY917460 ILU917460 IVQ917460 JFM917460 JPI917460 JZE917460 KJA917460 KSW917460 LCS917460 LMO917460 LWK917460 MGG917460 MQC917460 MZY917460 NJU917460 NTQ917460 ODM917460 ONI917460 OXE917460 PHA917460 PQW917460 QAS917460 QKO917460 QUK917460 REG917460 ROC917460 RXY917460 SHU917460 SRQ917460 TBM917460 TLI917460 TVE917460 UFA917460 UOW917460 UYS917460 VIO917460 VSK917460 WCG917460 WMC917460 WVY917460 JM982996 TI982996 ADE982996 ANA982996 AWW982996 BGS982996 BQO982996 CAK982996 CKG982996 CUC982996 DDY982996 DNU982996 DXQ982996 EHM982996 ERI982996 FBE982996 FLA982996 FUW982996 GES982996 GOO982996 GYK982996 HIG982996 HSC982996 IBY982996 ILU982996 IVQ982996 JFM982996 JPI982996 JZE982996 KJA982996 KSW982996 LCS982996 LMO982996 LWK982996 MGG982996 MQC982996 MZY982996 NJU982996 NTQ982996 ODM982996 ONI982996 OXE982996 PHA982996 PQW982996 QAS982996 QKO982996 QUK982996 REG982996 ROC982996 RXY982996 SHU982996 SRQ982996 TBM982996 TLI982996 TVE982996 UFA982996 UOW982996 UYS982996 VIO982996 VSK982996 WCG982996 WMC982996 WVY982996"/>
    <dataValidation allowBlank="1" showInputMessage="1" showErrorMessage="1" prompt="53° 20' 52.4436''" sqref="JK65496 TG65496 ADC65496 AMY65496 AWU65496 BGQ65496 BQM65496 CAI65496 CKE65496 CUA65496 DDW65496 DNS65496 DXO65496 EHK65496 ERG65496 FBC65496 FKY65496 FUU65496 GEQ65496 GOM65496 GYI65496 HIE65496 HSA65496 IBW65496 ILS65496 IVO65496 JFK65496 JPG65496 JZC65496 KIY65496 KSU65496 LCQ65496 LMM65496 LWI65496 MGE65496 MQA65496 MZW65496 NJS65496 NTO65496 ODK65496 ONG65496 OXC65496 PGY65496 PQU65496 QAQ65496 QKM65496 QUI65496 REE65496 ROA65496 RXW65496 SHS65496 SRO65496 TBK65496 TLG65496 TVC65496 UEY65496 UOU65496 UYQ65496 VIM65496 VSI65496 WCE65496 WMA65496 WVW65496 JK131032 TG131032 ADC131032 AMY131032 AWU131032 BGQ131032 BQM131032 CAI131032 CKE131032 CUA131032 DDW131032 DNS131032 DXO131032 EHK131032 ERG131032 FBC131032 FKY131032 FUU131032 GEQ131032 GOM131032 GYI131032 HIE131032 HSA131032 IBW131032 ILS131032 IVO131032 JFK131032 JPG131032 JZC131032 KIY131032 KSU131032 LCQ131032 LMM131032 LWI131032 MGE131032 MQA131032 MZW131032 NJS131032 NTO131032 ODK131032 ONG131032 OXC131032 PGY131032 PQU131032 QAQ131032 QKM131032 QUI131032 REE131032 ROA131032 RXW131032 SHS131032 SRO131032 TBK131032 TLG131032 TVC131032 UEY131032 UOU131032 UYQ131032 VIM131032 VSI131032 WCE131032 WMA131032 WVW131032 JK196568 TG196568 ADC196568 AMY196568 AWU196568 BGQ196568 BQM196568 CAI196568 CKE196568 CUA196568 DDW196568 DNS196568 DXO196568 EHK196568 ERG196568 FBC196568 FKY196568 FUU196568 GEQ196568 GOM196568 GYI196568 HIE196568 HSA196568 IBW196568 ILS196568 IVO196568 JFK196568 JPG196568 JZC196568 KIY196568 KSU196568 LCQ196568 LMM196568 LWI196568 MGE196568 MQA196568 MZW196568 NJS196568 NTO196568 ODK196568 ONG196568 OXC196568 PGY196568 PQU196568 QAQ196568 QKM196568 QUI196568 REE196568 ROA196568 RXW196568 SHS196568 SRO196568 TBK196568 TLG196568 TVC196568 UEY196568 UOU196568 UYQ196568 VIM196568 VSI196568 WCE196568 WMA196568 WVW196568 JK262104 TG262104 ADC262104 AMY262104 AWU262104 BGQ262104 BQM262104 CAI262104 CKE262104 CUA262104 DDW262104 DNS262104 DXO262104 EHK262104 ERG262104 FBC262104 FKY262104 FUU262104 GEQ262104 GOM262104 GYI262104 HIE262104 HSA262104 IBW262104 ILS262104 IVO262104 JFK262104 JPG262104 JZC262104 KIY262104 KSU262104 LCQ262104 LMM262104 LWI262104 MGE262104 MQA262104 MZW262104 NJS262104 NTO262104 ODK262104 ONG262104 OXC262104 PGY262104 PQU262104 QAQ262104 QKM262104 QUI262104 REE262104 ROA262104 RXW262104 SHS262104 SRO262104 TBK262104 TLG262104 TVC262104 UEY262104 UOU262104 UYQ262104 VIM262104 VSI262104 WCE262104 WMA262104 WVW262104 JK327640 TG327640 ADC327640 AMY327640 AWU327640 BGQ327640 BQM327640 CAI327640 CKE327640 CUA327640 DDW327640 DNS327640 DXO327640 EHK327640 ERG327640 FBC327640 FKY327640 FUU327640 GEQ327640 GOM327640 GYI327640 HIE327640 HSA327640 IBW327640 ILS327640 IVO327640 JFK327640 JPG327640 JZC327640 KIY327640 KSU327640 LCQ327640 LMM327640 LWI327640 MGE327640 MQA327640 MZW327640 NJS327640 NTO327640 ODK327640 ONG327640 OXC327640 PGY327640 PQU327640 QAQ327640 QKM327640 QUI327640 REE327640 ROA327640 RXW327640 SHS327640 SRO327640 TBK327640 TLG327640 TVC327640 UEY327640 UOU327640 UYQ327640 VIM327640 VSI327640 WCE327640 WMA327640 WVW327640 JK393176 TG393176 ADC393176 AMY393176 AWU393176 BGQ393176 BQM393176 CAI393176 CKE393176 CUA393176 DDW393176 DNS393176 DXO393176 EHK393176 ERG393176 FBC393176 FKY393176 FUU393176 GEQ393176 GOM393176 GYI393176 HIE393176 HSA393176 IBW393176 ILS393176 IVO393176 JFK393176 JPG393176 JZC393176 KIY393176 KSU393176 LCQ393176 LMM393176 LWI393176 MGE393176 MQA393176 MZW393176 NJS393176 NTO393176 ODK393176 ONG393176 OXC393176 PGY393176 PQU393176 QAQ393176 QKM393176 QUI393176 REE393176 ROA393176 RXW393176 SHS393176 SRO393176 TBK393176 TLG393176 TVC393176 UEY393176 UOU393176 UYQ393176 VIM393176 VSI393176 WCE393176 WMA393176 WVW393176 JK458712 TG458712 ADC458712 AMY458712 AWU458712 BGQ458712 BQM458712 CAI458712 CKE458712 CUA458712 DDW458712 DNS458712 DXO458712 EHK458712 ERG458712 FBC458712 FKY458712 FUU458712 GEQ458712 GOM458712 GYI458712 HIE458712 HSA458712 IBW458712 ILS458712 IVO458712 JFK458712 JPG458712 JZC458712 KIY458712 KSU458712 LCQ458712 LMM458712 LWI458712 MGE458712 MQA458712 MZW458712 NJS458712 NTO458712 ODK458712 ONG458712 OXC458712 PGY458712 PQU458712 QAQ458712 QKM458712 QUI458712 REE458712 ROA458712 RXW458712 SHS458712 SRO458712 TBK458712 TLG458712 TVC458712 UEY458712 UOU458712 UYQ458712 VIM458712 VSI458712 WCE458712 WMA458712 WVW458712 JK524248 TG524248 ADC524248 AMY524248 AWU524248 BGQ524248 BQM524248 CAI524248 CKE524248 CUA524248 DDW524248 DNS524248 DXO524248 EHK524248 ERG524248 FBC524248 FKY524248 FUU524248 GEQ524248 GOM524248 GYI524248 HIE524248 HSA524248 IBW524248 ILS524248 IVO524248 JFK524248 JPG524248 JZC524248 KIY524248 KSU524248 LCQ524248 LMM524248 LWI524248 MGE524248 MQA524248 MZW524248 NJS524248 NTO524248 ODK524248 ONG524248 OXC524248 PGY524248 PQU524248 QAQ524248 QKM524248 QUI524248 REE524248 ROA524248 RXW524248 SHS524248 SRO524248 TBK524248 TLG524248 TVC524248 UEY524248 UOU524248 UYQ524248 VIM524248 VSI524248 WCE524248 WMA524248 WVW524248 JK589784 TG589784 ADC589784 AMY589784 AWU589784 BGQ589784 BQM589784 CAI589784 CKE589784 CUA589784 DDW589784 DNS589784 DXO589784 EHK589784 ERG589784 FBC589784 FKY589784 FUU589784 GEQ589784 GOM589784 GYI589784 HIE589784 HSA589784 IBW589784 ILS589784 IVO589784 JFK589784 JPG589784 JZC589784 KIY589784 KSU589784 LCQ589784 LMM589784 LWI589784 MGE589784 MQA589784 MZW589784 NJS589784 NTO589784 ODK589784 ONG589784 OXC589784 PGY589784 PQU589784 QAQ589784 QKM589784 QUI589784 REE589784 ROA589784 RXW589784 SHS589784 SRO589784 TBK589784 TLG589784 TVC589784 UEY589784 UOU589784 UYQ589784 VIM589784 VSI589784 WCE589784 WMA589784 WVW589784 JK655320 TG655320 ADC655320 AMY655320 AWU655320 BGQ655320 BQM655320 CAI655320 CKE655320 CUA655320 DDW655320 DNS655320 DXO655320 EHK655320 ERG655320 FBC655320 FKY655320 FUU655320 GEQ655320 GOM655320 GYI655320 HIE655320 HSA655320 IBW655320 ILS655320 IVO655320 JFK655320 JPG655320 JZC655320 KIY655320 KSU655320 LCQ655320 LMM655320 LWI655320 MGE655320 MQA655320 MZW655320 NJS655320 NTO655320 ODK655320 ONG655320 OXC655320 PGY655320 PQU655320 QAQ655320 QKM655320 QUI655320 REE655320 ROA655320 RXW655320 SHS655320 SRO655320 TBK655320 TLG655320 TVC655320 UEY655320 UOU655320 UYQ655320 VIM655320 VSI655320 WCE655320 WMA655320 WVW655320 JK720856 TG720856 ADC720856 AMY720856 AWU720856 BGQ720856 BQM720856 CAI720856 CKE720856 CUA720856 DDW720856 DNS720856 DXO720856 EHK720856 ERG720856 FBC720856 FKY720856 FUU720856 GEQ720856 GOM720856 GYI720856 HIE720856 HSA720856 IBW720856 ILS720856 IVO720856 JFK720856 JPG720856 JZC720856 KIY720856 KSU720856 LCQ720856 LMM720856 LWI720856 MGE720856 MQA720856 MZW720856 NJS720856 NTO720856 ODK720856 ONG720856 OXC720856 PGY720856 PQU720856 QAQ720856 QKM720856 QUI720856 REE720856 ROA720856 RXW720856 SHS720856 SRO720856 TBK720856 TLG720856 TVC720856 UEY720856 UOU720856 UYQ720856 VIM720856 VSI720856 WCE720856 WMA720856 WVW720856 JK786392 TG786392 ADC786392 AMY786392 AWU786392 BGQ786392 BQM786392 CAI786392 CKE786392 CUA786392 DDW786392 DNS786392 DXO786392 EHK786392 ERG786392 FBC786392 FKY786392 FUU786392 GEQ786392 GOM786392 GYI786392 HIE786392 HSA786392 IBW786392 ILS786392 IVO786392 JFK786392 JPG786392 JZC786392 KIY786392 KSU786392 LCQ786392 LMM786392 LWI786392 MGE786392 MQA786392 MZW786392 NJS786392 NTO786392 ODK786392 ONG786392 OXC786392 PGY786392 PQU786392 QAQ786392 QKM786392 QUI786392 REE786392 ROA786392 RXW786392 SHS786392 SRO786392 TBK786392 TLG786392 TVC786392 UEY786392 UOU786392 UYQ786392 VIM786392 VSI786392 WCE786392 WMA786392 WVW786392 JK851928 TG851928 ADC851928 AMY851928 AWU851928 BGQ851928 BQM851928 CAI851928 CKE851928 CUA851928 DDW851928 DNS851928 DXO851928 EHK851928 ERG851928 FBC851928 FKY851928 FUU851928 GEQ851928 GOM851928 GYI851928 HIE851928 HSA851928 IBW851928 ILS851928 IVO851928 JFK851928 JPG851928 JZC851928 KIY851928 KSU851928 LCQ851928 LMM851928 LWI851928 MGE851928 MQA851928 MZW851928 NJS851928 NTO851928 ODK851928 ONG851928 OXC851928 PGY851928 PQU851928 QAQ851928 QKM851928 QUI851928 REE851928 ROA851928 RXW851928 SHS851928 SRO851928 TBK851928 TLG851928 TVC851928 UEY851928 UOU851928 UYQ851928 VIM851928 VSI851928 WCE851928 WMA851928 WVW851928 JK917464 TG917464 ADC917464 AMY917464 AWU917464 BGQ917464 BQM917464 CAI917464 CKE917464 CUA917464 DDW917464 DNS917464 DXO917464 EHK917464 ERG917464 FBC917464 FKY917464 FUU917464 GEQ917464 GOM917464 GYI917464 HIE917464 HSA917464 IBW917464 ILS917464 IVO917464 JFK917464 JPG917464 JZC917464 KIY917464 KSU917464 LCQ917464 LMM917464 LWI917464 MGE917464 MQA917464 MZW917464 NJS917464 NTO917464 ODK917464 ONG917464 OXC917464 PGY917464 PQU917464 QAQ917464 QKM917464 QUI917464 REE917464 ROA917464 RXW917464 SHS917464 SRO917464 TBK917464 TLG917464 TVC917464 UEY917464 UOU917464 UYQ917464 VIM917464 VSI917464 WCE917464 WMA917464 WVW917464 JK983000 TG983000 ADC983000 AMY983000 AWU983000 BGQ983000 BQM983000 CAI983000 CKE983000 CUA983000 DDW983000 DNS983000 DXO983000 EHK983000 ERG983000 FBC983000 FKY983000 FUU983000 GEQ983000 GOM983000 GYI983000 HIE983000 HSA983000 IBW983000 ILS983000 IVO983000 JFK983000 JPG983000 JZC983000 KIY983000 KSU983000 LCQ983000 LMM983000 LWI983000 MGE983000 MQA983000 MZW983000 NJS983000 NTO983000 ODK983000 ONG983000 OXC983000 PGY983000 PQU983000 QAQ983000 QKM983000 QUI983000 REE983000 ROA983000 RXW983000 SHS983000 SRO983000 TBK983000 TLG983000 TVC983000 UEY983000 UOU983000 UYQ983000 VIM983000 VSI983000 WCE983000 WMA983000 WVW983000"/>
    <dataValidation allowBlank="1" showInputMessage="1" showErrorMessage="1" prompt="6° 17' 40.1424''" sqref="JM65496 TI65496 ADE65496 ANA65496 AWW65496 BGS65496 BQO65496 CAK65496 CKG65496 CUC65496 DDY65496 DNU65496 DXQ65496 EHM65496 ERI65496 FBE65496 FLA65496 FUW65496 GES65496 GOO65496 GYK65496 HIG65496 HSC65496 IBY65496 ILU65496 IVQ65496 JFM65496 JPI65496 JZE65496 KJA65496 KSW65496 LCS65496 LMO65496 LWK65496 MGG65496 MQC65496 MZY65496 NJU65496 NTQ65496 ODM65496 ONI65496 OXE65496 PHA65496 PQW65496 QAS65496 QKO65496 QUK65496 REG65496 ROC65496 RXY65496 SHU65496 SRQ65496 TBM65496 TLI65496 TVE65496 UFA65496 UOW65496 UYS65496 VIO65496 VSK65496 WCG65496 WMC65496 WVY65496 JM131032 TI131032 ADE131032 ANA131032 AWW131032 BGS131032 BQO131032 CAK131032 CKG131032 CUC131032 DDY131032 DNU131032 DXQ131032 EHM131032 ERI131032 FBE131032 FLA131032 FUW131032 GES131032 GOO131032 GYK131032 HIG131032 HSC131032 IBY131032 ILU131032 IVQ131032 JFM131032 JPI131032 JZE131032 KJA131032 KSW131032 LCS131032 LMO131032 LWK131032 MGG131032 MQC131032 MZY131032 NJU131032 NTQ131032 ODM131032 ONI131032 OXE131032 PHA131032 PQW131032 QAS131032 QKO131032 QUK131032 REG131032 ROC131032 RXY131032 SHU131032 SRQ131032 TBM131032 TLI131032 TVE131032 UFA131032 UOW131032 UYS131032 VIO131032 VSK131032 WCG131032 WMC131032 WVY131032 JM196568 TI196568 ADE196568 ANA196568 AWW196568 BGS196568 BQO196568 CAK196568 CKG196568 CUC196568 DDY196568 DNU196568 DXQ196568 EHM196568 ERI196568 FBE196568 FLA196568 FUW196568 GES196568 GOO196568 GYK196568 HIG196568 HSC196568 IBY196568 ILU196568 IVQ196568 JFM196568 JPI196568 JZE196568 KJA196568 KSW196568 LCS196568 LMO196568 LWK196568 MGG196568 MQC196568 MZY196568 NJU196568 NTQ196568 ODM196568 ONI196568 OXE196568 PHA196568 PQW196568 QAS196568 QKO196568 QUK196568 REG196568 ROC196568 RXY196568 SHU196568 SRQ196568 TBM196568 TLI196568 TVE196568 UFA196568 UOW196568 UYS196568 VIO196568 VSK196568 WCG196568 WMC196568 WVY196568 JM262104 TI262104 ADE262104 ANA262104 AWW262104 BGS262104 BQO262104 CAK262104 CKG262104 CUC262104 DDY262104 DNU262104 DXQ262104 EHM262104 ERI262104 FBE262104 FLA262104 FUW262104 GES262104 GOO262104 GYK262104 HIG262104 HSC262104 IBY262104 ILU262104 IVQ262104 JFM262104 JPI262104 JZE262104 KJA262104 KSW262104 LCS262104 LMO262104 LWK262104 MGG262104 MQC262104 MZY262104 NJU262104 NTQ262104 ODM262104 ONI262104 OXE262104 PHA262104 PQW262104 QAS262104 QKO262104 QUK262104 REG262104 ROC262104 RXY262104 SHU262104 SRQ262104 TBM262104 TLI262104 TVE262104 UFA262104 UOW262104 UYS262104 VIO262104 VSK262104 WCG262104 WMC262104 WVY262104 JM327640 TI327640 ADE327640 ANA327640 AWW327640 BGS327640 BQO327640 CAK327640 CKG327640 CUC327640 DDY327640 DNU327640 DXQ327640 EHM327640 ERI327640 FBE327640 FLA327640 FUW327640 GES327640 GOO327640 GYK327640 HIG327640 HSC327640 IBY327640 ILU327640 IVQ327640 JFM327640 JPI327640 JZE327640 KJA327640 KSW327640 LCS327640 LMO327640 LWK327640 MGG327640 MQC327640 MZY327640 NJU327640 NTQ327640 ODM327640 ONI327640 OXE327640 PHA327640 PQW327640 QAS327640 QKO327640 QUK327640 REG327640 ROC327640 RXY327640 SHU327640 SRQ327640 TBM327640 TLI327640 TVE327640 UFA327640 UOW327640 UYS327640 VIO327640 VSK327640 WCG327640 WMC327640 WVY327640 JM393176 TI393176 ADE393176 ANA393176 AWW393176 BGS393176 BQO393176 CAK393176 CKG393176 CUC393176 DDY393176 DNU393176 DXQ393176 EHM393176 ERI393176 FBE393176 FLA393176 FUW393176 GES393176 GOO393176 GYK393176 HIG393176 HSC393176 IBY393176 ILU393176 IVQ393176 JFM393176 JPI393176 JZE393176 KJA393176 KSW393176 LCS393176 LMO393176 LWK393176 MGG393176 MQC393176 MZY393176 NJU393176 NTQ393176 ODM393176 ONI393176 OXE393176 PHA393176 PQW393176 QAS393176 QKO393176 QUK393176 REG393176 ROC393176 RXY393176 SHU393176 SRQ393176 TBM393176 TLI393176 TVE393176 UFA393176 UOW393176 UYS393176 VIO393176 VSK393176 WCG393176 WMC393176 WVY393176 JM458712 TI458712 ADE458712 ANA458712 AWW458712 BGS458712 BQO458712 CAK458712 CKG458712 CUC458712 DDY458712 DNU458712 DXQ458712 EHM458712 ERI458712 FBE458712 FLA458712 FUW458712 GES458712 GOO458712 GYK458712 HIG458712 HSC458712 IBY458712 ILU458712 IVQ458712 JFM458712 JPI458712 JZE458712 KJA458712 KSW458712 LCS458712 LMO458712 LWK458712 MGG458712 MQC458712 MZY458712 NJU458712 NTQ458712 ODM458712 ONI458712 OXE458712 PHA458712 PQW458712 QAS458712 QKO458712 QUK458712 REG458712 ROC458712 RXY458712 SHU458712 SRQ458712 TBM458712 TLI458712 TVE458712 UFA458712 UOW458712 UYS458712 VIO458712 VSK458712 WCG458712 WMC458712 WVY458712 JM524248 TI524248 ADE524248 ANA524248 AWW524248 BGS524248 BQO524248 CAK524248 CKG524248 CUC524248 DDY524248 DNU524248 DXQ524248 EHM524248 ERI524248 FBE524248 FLA524248 FUW524248 GES524248 GOO524248 GYK524248 HIG524248 HSC524248 IBY524248 ILU524248 IVQ524248 JFM524248 JPI524248 JZE524248 KJA524248 KSW524248 LCS524248 LMO524248 LWK524248 MGG524248 MQC524248 MZY524248 NJU524248 NTQ524248 ODM524248 ONI524248 OXE524248 PHA524248 PQW524248 QAS524248 QKO524248 QUK524248 REG524248 ROC524248 RXY524248 SHU524248 SRQ524248 TBM524248 TLI524248 TVE524248 UFA524248 UOW524248 UYS524248 VIO524248 VSK524248 WCG524248 WMC524248 WVY524248 JM589784 TI589784 ADE589784 ANA589784 AWW589784 BGS589784 BQO589784 CAK589784 CKG589784 CUC589784 DDY589784 DNU589784 DXQ589784 EHM589784 ERI589784 FBE589784 FLA589784 FUW589784 GES589784 GOO589784 GYK589784 HIG589784 HSC589784 IBY589784 ILU589784 IVQ589784 JFM589784 JPI589784 JZE589784 KJA589784 KSW589784 LCS589784 LMO589784 LWK589784 MGG589784 MQC589784 MZY589784 NJU589784 NTQ589784 ODM589784 ONI589784 OXE589784 PHA589784 PQW589784 QAS589784 QKO589784 QUK589784 REG589784 ROC589784 RXY589784 SHU589784 SRQ589784 TBM589784 TLI589784 TVE589784 UFA589784 UOW589784 UYS589784 VIO589784 VSK589784 WCG589784 WMC589784 WVY589784 JM655320 TI655320 ADE655320 ANA655320 AWW655320 BGS655320 BQO655320 CAK655320 CKG655320 CUC655320 DDY655320 DNU655320 DXQ655320 EHM655320 ERI655320 FBE655320 FLA655320 FUW655320 GES655320 GOO655320 GYK655320 HIG655320 HSC655320 IBY655320 ILU655320 IVQ655320 JFM655320 JPI655320 JZE655320 KJA655320 KSW655320 LCS655320 LMO655320 LWK655320 MGG655320 MQC655320 MZY655320 NJU655320 NTQ655320 ODM655320 ONI655320 OXE655320 PHA655320 PQW655320 QAS655320 QKO655320 QUK655320 REG655320 ROC655320 RXY655320 SHU655320 SRQ655320 TBM655320 TLI655320 TVE655320 UFA655320 UOW655320 UYS655320 VIO655320 VSK655320 WCG655320 WMC655320 WVY655320 JM720856 TI720856 ADE720856 ANA720856 AWW720856 BGS720856 BQO720856 CAK720856 CKG720856 CUC720856 DDY720856 DNU720856 DXQ720856 EHM720856 ERI720856 FBE720856 FLA720856 FUW720856 GES720856 GOO720856 GYK720856 HIG720856 HSC720856 IBY720856 ILU720856 IVQ720856 JFM720856 JPI720856 JZE720856 KJA720856 KSW720856 LCS720856 LMO720856 LWK720856 MGG720856 MQC720856 MZY720856 NJU720856 NTQ720856 ODM720856 ONI720856 OXE720856 PHA720856 PQW720856 QAS720856 QKO720856 QUK720856 REG720856 ROC720856 RXY720856 SHU720856 SRQ720856 TBM720856 TLI720856 TVE720856 UFA720856 UOW720856 UYS720856 VIO720856 VSK720856 WCG720856 WMC720856 WVY720856 JM786392 TI786392 ADE786392 ANA786392 AWW786392 BGS786392 BQO786392 CAK786392 CKG786392 CUC786392 DDY786392 DNU786392 DXQ786392 EHM786392 ERI786392 FBE786392 FLA786392 FUW786392 GES786392 GOO786392 GYK786392 HIG786392 HSC786392 IBY786392 ILU786392 IVQ786392 JFM786392 JPI786392 JZE786392 KJA786392 KSW786392 LCS786392 LMO786392 LWK786392 MGG786392 MQC786392 MZY786392 NJU786392 NTQ786392 ODM786392 ONI786392 OXE786392 PHA786392 PQW786392 QAS786392 QKO786392 QUK786392 REG786392 ROC786392 RXY786392 SHU786392 SRQ786392 TBM786392 TLI786392 TVE786392 UFA786392 UOW786392 UYS786392 VIO786392 VSK786392 WCG786392 WMC786392 WVY786392 JM851928 TI851928 ADE851928 ANA851928 AWW851928 BGS851928 BQO851928 CAK851928 CKG851928 CUC851928 DDY851928 DNU851928 DXQ851928 EHM851928 ERI851928 FBE851928 FLA851928 FUW851928 GES851928 GOO851928 GYK851928 HIG851928 HSC851928 IBY851928 ILU851928 IVQ851928 JFM851928 JPI851928 JZE851928 KJA851928 KSW851928 LCS851928 LMO851928 LWK851928 MGG851928 MQC851928 MZY851928 NJU851928 NTQ851928 ODM851928 ONI851928 OXE851928 PHA851928 PQW851928 QAS851928 QKO851928 QUK851928 REG851928 ROC851928 RXY851928 SHU851928 SRQ851928 TBM851928 TLI851928 TVE851928 UFA851928 UOW851928 UYS851928 VIO851928 VSK851928 WCG851928 WMC851928 WVY851928 JM917464 TI917464 ADE917464 ANA917464 AWW917464 BGS917464 BQO917464 CAK917464 CKG917464 CUC917464 DDY917464 DNU917464 DXQ917464 EHM917464 ERI917464 FBE917464 FLA917464 FUW917464 GES917464 GOO917464 GYK917464 HIG917464 HSC917464 IBY917464 ILU917464 IVQ917464 JFM917464 JPI917464 JZE917464 KJA917464 KSW917464 LCS917464 LMO917464 LWK917464 MGG917464 MQC917464 MZY917464 NJU917464 NTQ917464 ODM917464 ONI917464 OXE917464 PHA917464 PQW917464 QAS917464 QKO917464 QUK917464 REG917464 ROC917464 RXY917464 SHU917464 SRQ917464 TBM917464 TLI917464 TVE917464 UFA917464 UOW917464 UYS917464 VIO917464 VSK917464 WCG917464 WMC917464 WVY917464 JM983000 TI983000 ADE983000 ANA983000 AWW983000 BGS983000 BQO983000 CAK983000 CKG983000 CUC983000 DDY983000 DNU983000 DXQ983000 EHM983000 ERI983000 FBE983000 FLA983000 FUW983000 GES983000 GOO983000 GYK983000 HIG983000 HSC983000 IBY983000 ILU983000 IVQ983000 JFM983000 JPI983000 JZE983000 KJA983000 KSW983000 LCS983000 LMO983000 LWK983000 MGG983000 MQC983000 MZY983000 NJU983000 NTQ983000 ODM983000 ONI983000 OXE983000 PHA983000 PQW983000 QAS983000 QKO983000 QUK983000 REG983000 ROC983000 RXY983000 SHU983000 SRQ983000 TBM983000 TLI983000 TVE983000 UFA983000 UOW983000 UYS983000 VIO983000 VSK983000 WCG983000 WMC983000 WVY983000"/>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2"/>
  <sheetViews>
    <sheetView view="pageLayout" topLeftCell="A37" zoomScale="85" zoomScaleNormal="100" zoomScaleSheetLayoutView="55" zoomScalePageLayoutView="85" workbookViewId="0">
      <selection activeCell="S53" sqref="S53:X53"/>
    </sheetView>
  </sheetViews>
  <sheetFormatPr defaultColWidth="5.33203125" defaultRowHeight="15" customHeight="1" x14ac:dyDescent="0.3"/>
  <cols>
    <col min="1" max="1" width="2.6640625" style="2" customWidth="1"/>
    <col min="2" max="2" width="1.33203125" style="2" customWidth="1"/>
    <col min="3" max="3" width="5.33203125" style="2"/>
    <col min="4" max="4" width="1.5546875" style="2" customWidth="1"/>
    <col min="5" max="6" width="5.33203125" style="2"/>
    <col min="7" max="7" width="5.88671875" style="2" customWidth="1"/>
    <col min="8" max="8" width="5.44140625" style="2" customWidth="1"/>
    <col min="9" max="9" width="6.109375" style="2" customWidth="1"/>
    <col min="10" max="10" width="5.88671875" style="2" customWidth="1"/>
    <col min="11" max="11" width="5.33203125" style="2"/>
    <col min="12" max="12" width="4.6640625" style="2" customWidth="1"/>
    <col min="13" max="13" width="7" style="2" customWidth="1"/>
    <col min="14" max="14" width="5.44140625" style="2" customWidth="1"/>
    <col min="15" max="15" width="3.33203125" style="2" customWidth="1"/>
    <col min="16" max="16" width="3" style="2" customWidth="1"/>
    <col min="17" max="17" width="4.44140625" style="2" customWidth="1"/>
    <col min="18" max="20" width="6.109375" style="2" customWidth="1"/>
    <col min="21" max="21" width="6.5546875" style="2" customWidth="1"/>
    <col min="22" max="22" width="4.44140625" style="2" customWidth="1"/>
    <col min="23" max="23" width="6.109375" style="2" customWidth="1"/>
    <col min="24" max="24" width="10.33203125" style="2" customWidth="1"/>
    <col min="25" max="25" width="5.6640625" style="2" customWidth="1"/>
    <col min="26" max="26" width="10.5546875" style="2" customWidth="1"/>
    <col min="27" max="27" width="5.44140625" style="2" customWidth="1"/>
    <col min="28" max="28" width="14.109375" style="2" customWidth="1"/>
    <col min="29" max="16384" width="5.33203125" style="2"/>
  </cols>
  <sheetData>
    <row r="1" spans="1:28" ht="15" customHeight="1" x14ac:dyDescent="0.3">
      <c r="A1" s="85"/>
      <c r="B1" s="86"/>
      <c r="C1" s="86"/>
      <c r="D1" s="86"/>
      <c r="E1" s="86"/>
      <c r="F1" s="1"/>
      <c r="G1" s="1"/>
      <c r="H1" s="1"/>
      <c r="I1" s="1"/>
      <c r="J1" s="1"/>
      <c r="K1" s="1"/>
      <c r="L1" s="1"/>
      <c r="M1" s="1"/>
      <c r="N1" s="1"/>
      <c r="O1" s="1"/>
      <c r="P1" s="1"/>
      <c r="Q1" s="1"/>
      <c r="R1" s="85"/>
      <c r="S1" s="1"/>
      <c r="T1" s="1"/>
      <c r="U1" s="1"/>
      <c r="V1" s="1"/>
      <c r="W1" s="1"/>
      <c r="X1" s="1"/>
      <c r="Y1" s="1"/>
      <c r="Z1" s="1"/>
      <c r="AA1" s="1"/>
      <c r="AB1" s="1"/>
    </row>
    <row r="2" spans="1:28" ht="15" customHeight="1" x14ac:dyDescent="0.3">
      <c r="A2" s="79"/>
      <c r="B2" s="589" t="s">
        <v>453</v>
      </c>
      <c r="C2" s="10"/>
      <c r="D2" s="10"/>
      <c r="E2" s="376"/>
      <c r="F2" s="3"/>
      <c r="G2" s="3"/>
      <c r="H2" s="3"/>
      <c r="I2" s="3"/>
      <c r="J2" s="3"/>
      <c r="K2" s="3"/>
      <c r="L2" s="3"/>
      <c r="M2" s="3"/>
      <c r="N2" s="3"/>
      <c r="O2" s="79"/>
      <c r="P2" s="79"/>
      <c r="Q2" s="79"/>
      <c r="R2" s="79"/>
      <c r="S2" s="3"/>
      <c r="T2" s="3"/>
      <c r="U2" s="3"/>
      <c r="V2" s="3"/>
      <c r="W2" s="3"/>
      <c r="X2" s="3"/>
      <c r="Y2" s="3"/>
      <c r="Z2" s="3"/>
      <c r="AA2" s="3"/>
      <c r="AB2" s="3"/>
    </row>
    <row r="3" spans="1:28" ht="15" customHeight="1" x14ac:dyDescent="0.3">
      <c r="A3" s="79"/>
      <c r="B3" s="739" t="str">
        <f>Overview!$B$7</f>
        <v>Grove Park Drive</v>
      </c>
      <c r="D3" s="3"/>
      <c r="E3" s="278"/>
      <c r="F3" s="3"/>
      <c r="G3" s="3"/>
      <c r="H3" s="3"/>
      <c r="I3" s="3"/>
      <c r="J3" s="3"/>
      <c r="K3" s="3"/>
      <c r="L3" s="22"/>
      <c r="M3" s="1644"/>
      <c r="N3" s="1644"/>
      <c r="O3" s="79"/>
      <c r="P3" s="79"/>
      <c r="Q3" s="79"/>
      <c r="R3" s="79"/>
      <c r="S3" s="3"/>
      <c r="T3" s="3"/>
      <c r="U3" s="3"/>
      <c r="V3" s="3"/>
      <c r="W3" s="3"/>
      <c r="X3" s="3"/>
      <c r="Y3" s="3"/>
      <c r="Z3" s="3"/>
      <c r="AA3" s="3"/>
      <c r="AB3" s="3"/>
    </row>
    <row r="4" spans="1:28" ht="15" customHeight="1" x14ac:dyDescent="0.3">
      <c r="A4" s="79"/>
      <c r="B4" s="30"/>
      <c r="C4" s="79"/>
      <c r="D4" s="79"/>
      <c r="E4" s="375"/>
      <c r="F4" s="79"/>
      <c r="G4" s="79"/>
      <c r="H4" s="79"/>
      <c r="I4" s="79"/>
      <c r="J4" s="79"/>
      <c r="K4" s="79"/>
      <c r="L4" s="79"/>
      <c r="M4" s="79"/>
      <c r="N4" s="79"/>
      <c r="O4" s="79"/>
      <c r="P4" s="79"/>
      <c r="Q4" s="79"/>
      <c r="R4" s="79"/>
      <c r="S4" s="3"/>
      <c r="T4" s="3"/>
      <c r="U4" s="3"/>
      <c r="V4" s="3"/>
      <c r="W4" s="3"/>
      <c r="X4" s="3"/>
      <c r="Y4" s="3"/>
      <c r="Z4" s="3"/>
      <c r="AA4" s="3"/>
      <c r="AB4" s="3"/>
    </row>
    <row r="5" spans="1:28" ht="15" customHeight="1" thickBot="1" x14ac:dyDescent="0.35">
      <c r="A5" s="79"/>
      <c r="B5" s="1643" t="s">
        <v>330</v>
      </c>
      <c r="C5" s="1643"/>
      <c r="D5" s="1643"/>
      <c r="E5" s="1643"/>
      <c r="F5" s="1643"/>
      <c r="G5" s="1643"/>
      <c r="H5" s="1643"/>
      <c r="I5" s="1643"/>
      <c r="J5" s="1643"/>
      <c r="K5" s="1643"/>
      <c r="L5" s="1643"/>
      <c r="M5" s="1643"/>
      <c r="N5" s="1643"/>
      <c r="O5" s="1643" t="s">
        <v>331</v>
      </c>
      <c r="P5" s="1643"/>
      <c r="Q5" s="1643"/>
      <c r="R5" s="1643"/>
      <c r="S5" s="1643"/>
      <c r="T5" s="1643"/>
      <c r="U5" s="1643"/>
      <c r="V5" s="1643"/>
      <c r="W5" s="1643"/>
      <c r="X5" s="1643"/>
      <c r="Y5" s="1643"/>
      <c r="Z5" s="1643"/>
      <c r="AA5" s="1643"/>
      <c r="AB5" s="3"/>
    </row>
    <row r="6" spans="1:28" ht="15" customHeight="1" x14ac:dyDescent="0.3">
      <c r="A6" s="79"/>
      <c r="B6" s="1188" t="s">
        <v>100</v>
      </c>
      <c r="C6" s="1060"/>
      <c r="D6" s="1189"/>
      <c r="E6" s="1188" t="s">
        <v>292</v>
      </c>
      <c r="F6" s="1060"/>
      <c r="G6" s="1060"/>
      <c r="H6" s="1056"/>
      <c r="I6" s="1660" t="s">
        <v>293</v>
      </c>
      <c r="J6" s="1060"/>
      <c r="K6" s="1060"/>
      <c r="L6" s="1056"/>
      <c r="M6" s="1662" t="s">
        <v>97</v>
      </c>
      <c r="N6" s="1225"/>
      <c r="O6" s="1188" t="s">
        <v>100</v>
      </c>
      <c r="P6" s="1060"/>
      <c r="Q6" s="1189"/>
      <c r="R6" s="1188" t="s">
        <v>292</v>
      </c>
      <c r="S6" s="1060"/>
      <c r="T6" s="1060"/>
      <c r="U6" s="1056"/>
      <c r="V6" s="1660" t="s">
        <v>293</v>
      </c>
      <c r="W6" s="1060"/>
      <c r="X6" s="1060"/>
      <c r="Y6" s="1056"/>
      <c r="Z6" s="1662" t="s">
        <v>97</v>
      </c>
      <c r="AA6" s="1225"/>
      <c r="AB6" s="3"/>
    </row>
    <row r="7" spans="1:28" ht="15" customHeight="1" x14ac:dyDescent="0.3">
      <c r="A7" s="79"/>
      <c r="B7" s="1190"/>
      <c r="C7" s="1354"/>
      <c r="D7" s="1191"/>
      <c r="E7" s="1657"/>
      <c r="F7" s="1658"/>
      <c r="G7" s="1658"/>
      <c r="H7" s="1659"/>
      <c r="I7" s="1661"/>
      <c r="J7" s="1658"/>
      <c r="K7" s="1658"/>
      <c r="L7" s="1659"/>
      <c r="M7" s="1663"/>
      <c r="N7" s="1664"/>
      <c r="O7" s="1190"/>
      <c r="P7" s="1354"/>
      <c r="Q7" s="1191"/>
      <c r="R7" s="1657"/>
      <c r="S7" s="1658"/>
      <c r="T7" s="1658"/>
      <c r="U7" s="1659"/>
      <c r="V7" s="1661"/>
      <c r="W7" s="1658"/>
      <c r="X7" s="1658"/>
      <c r="Y7" s="1659"/>
      <c r="Z7" s="1663"/>
      <c r="AA7" s="1664"/>
      <c r="AB7" s="3"/>
    </row>
    <row r="8" spans="1:28" ht="15" customHeight="1" thickBot="1" x14ac:dyDescent="0.35">
      <c r="A8" s="79"/>
      <c r="B8" s="1192"/>
      <c r="C8" s="1061"/>
      <c r="D8" s="1193"/>
      <c r="E8" s="1668" t="s">
        <v>98</v>
      </c>
      <c r="F8" s="1669"/>
      <c r="G8" s="1238" t="s">
        <v>99</v>
      </c>
      <c r="H8" s="1669"/>
      <c r="I8" s="1238" t="s">
        <v>98</v>
      </c>
      <c r="J8" s="1669"/>
      <c r="K8" s="1238" t="s">
        <v>99</v>
      </c>
      <c r="L8" s="1669"/>
      <c r="M8" s="1665"/>
      <c r="N8" s="1228"/>
      <c r="O8" s="1192"/>
      <c r="P8" s="1061"/>
      <c r="Q8" s="1193"/>
      <c r="R8" s="1668" t="s">
        <v>98</v>
      </c>
      <c r="S8" s="1669"/>
      <c r="T8" s="1238" t="s">
        <v>99</v>
      </c>
      <c r="U8" s="1669"/>
      <c r="V8" s="1238" t="s">
        <v>98</v>
      </c>
      <c r="W8" s="1669"/>
      <c r="X8" s="1238" t="s">
        <v>99</v>
      </c>
      <c r="Y8" s="1669"/>
      <c r="Z8" s="1665"/>
      <c r="AA8" s="1228"/>
      <c r="AB8" s="3"/>
    </row>
    <row r="9" spans="1:28" ht="15" customHeight="1" thickBot="1" x14ac:dyDescent="0.35">
      <c r="A9" s="79"/>
      <c r="B9" s="442"/>
      <c r="C9" s="445"/>
      <c r="D9" s="443"/>
      <c r="E9" s="444"/>
      <c r="F9" s="469"/>
      <c r="G9" s="446"/>
      <c r="H9" s="469"/>
      <c r="I9" s="446"/>
      <c r="J9" s="469"/>
      <c r="K9" s="446"/>
      <c r="L9" s="469"/>
      <c r="M9" s="446"/>
      <c r="N9" s="447"/>
      <c r="O9" s="442"/>
      <c r="P9" s="445"/>
      <c r="Q9" s="443"/>
      <c r="R9" s="1668" t="s">
        <v>303</v>
      </c>
      <c r="S9" s="1669"/>
      <c r="T9" s="1238" t="s">
        <v>304</v>
      </c>
      <c r="U9" s="1669"/>
      <c r="V9" s="1238" t="s">
        <v>305</v>
      </c>
      <c r="W9" s="1669"/>
      <c r="X9" s="1238" t="s">
        <v>306</v>
      </c>
      <c r="Y9" s="1669"/>
      <c r="Z9" s="1616" t="s">
        <v>28</v>
      </c>
      <c r="AA9" s="1206"/>
      <c r="AB9" s="3"/>
    </row>
    <row r="10" spans="1:28" ht="15" customHeight="1" x14ac:dyDescent="0.3">
      <c r="A10" s="79"/>
      <c r="B10" s="1670">
        <v>2011</v>
      </c>
      <c r="C10" s="1671"/>
      <c r="D10" s="1672"/>
      <c r="E10" s="1673">
        <f>Z64</f>
        <v>96568.526600000012</v>
      </c>
      <c r="F10" s="1666">
        <v>79945</v>
      </c>
      <c r="G10" s="1666">
        <v>102021.8</v>
      </c>
      <c r="H10" s="1666">
        <v>78897</v>
      </c>
      <c r="I10" s="1666">
        <f>Z67</f>
        <v>238080.64280000003</v>
      </c>
      <c r="J10" s="1666">
        <v>147999</v>
      </c>
      <c r="K10" s="1666">
        <f>Z68</f>
        <v>148577.34710000004</v>
      </c>
      <c r="L10" s="1666">
        <v>95731</v>
      </c>
      <c r="M10" s="1666">
        <f>Z62</f>
        <v>157377.44750000001</v>
      </c>
      <c r="N10" s="1667">
        <v>90298</v>
      </c>
      <c r="O10" s="1670">
        <v>2011</v>
      </c>
      <c r="P10" s="1671"/>
      <c r="Q10" s="1672"/>
      <c r="R10" s="1676">
        <f>E10*1.17</f>
        <v>112985.176122</v>
      </c>
      <c r="S10" s="1677">
        <v>93701</v>
      </c>
      <c r="T10" s="1677">
        <f>G10*1.17</f>
        <v>119365.50599999999</v>
      </c>
      <c r="U10" s="1677">
        <v>93702</v>
      </c>
      <c r="V10" s="1677">
        <f t="shared" ref="V10" si="0">I10*1.17</f>
        <v>278554.35207600001</v>
      </c>
      <c r="W10" s="1677">
        <v>93703</v>
      </c>
      <c r="X10" s="1677">
        <f t="shared" ref="X10" si="1">K10*1.17</f>
        <v>173835.49610700004</v>
      </c>
      <c r="Y10" s="1677">
        <v>93704</v>
      </c>
      <c r="Z10" s="1677">
        <f>M10*1.15</f>
        <v>180984.064625</v>
      </c>
      <c r="AA10" s="1677">
        <v>93705</v>
      </c>
      <c r="AB10" s="3"/>
    </row>
    <row r="11" spans="1:28" ht="15" customHeight="1" x14ac:dyDescent="0.3">
      <c r="A11" s="79"/>
      <c r="B11" s="1654">
        <v>2012</v>
      </c>
      <c r="C11" s="1620"/>
      <c r="D11" s="1655"/>
      <c r="E11" s="1656">
        <f>E10*1.0175</f>
        <v>98258.475815500016</v>
      </c>
      <c r="F11" s="1652">
        <v>80017</v>
      </c>
      <c r="G11" s="1652">
        <f>Z65</f>
        <v>120691.78940000001</v>
      </c>
      <c r="H11" s="1652">
        <v>80018</v>
      </c>
      <c r="I11" s="1652">
        <f t="shared" ref="I11" si="2">I10*1.0175</f>
        <v>242247.05404900006</v>
      </c>
      <c r="J11" s="1652">
        <v>80019</v>
      </c>
      <c r="K11" s="1652">
        <f t="shared" ref="K11" si="3">K10*1.0175</f>
        <v>151177.45067425005</v>
      </c>
      <c r="L11" s="1652">
        <v>80020</v>
      </c>
      <c r="M11" s="1652">
        <f t="shared" ref="M11" si="4">M10*1.0175</f>
        <v>160131.55283125001</v>
      </c>
      <c r="N11" s="1653">
        <v>80021</v>
      </c>
      <c r="O11" s="1654">
        <v>2012</v>
      </c>
      <c r="P11" s="1620"/>
      <c r="Q11" s="1655"/>
      <c r="R11" s="1674">
        <f t="shared" ref="R11:R22" si="5">E11*1.17</f>
        <v>114962.41670413502</v>
      </c>
      <c r="S11" s="1675">
        <v>93702</v>
      </c>
      <c r="T11" s="1675">
        <f t="shared" ref="T11:T22" si="6">G11*1.17</f>
        <v>141209.393598</v>
      </c>
      <c r="U11" s="1675">
        <v>93703</v>
      </c>
      <c r="V11" s="1675">
        <f t="shared" ref="V11:V22" si="7">I11*1.17</f>
        <v>283429.05323733005</v>
      </c>
      <c r="W11" s="1675">
        <v>93704</v>
      </c>
      <c r="X11" s="1675">
        <f t="shared" ref="X11:X22" si="8">K11*1.17</f>
        <v>176877.61728887254</v>
      </c>
      <c r="Y11" s="1675">
        <v>93705</v>
      </c>
      <c r="Z11" s="1675">
        <f t="shared" ref="Z11:Z22" si="9">M11*1.15</f>
        <v>184151.28575593751</v>
      </c>
      <c r="AA11" s="1675">
        <v>93706</v>
      </c>
      <c r="AB11" s="3"/>
    </row>
    <row r="12" spans="1:28" ht="15" customHeight="1" x14ac:dyDescent="0.3">
      <c r="A12" s="79"/>
      <c r="B12" s="1654">
        <v>2013</v>
      </c>
      <c r="C12" s="1620"/>
      <c r="D12" s="1655"/>
      <c r="E12" s="1656">
        <f t="shared" ref="E12:E22" si="10">E11*1.0175</f>
        <v>99977.999142271277</v>
      </c>
      <c r="F12" s="1652">
        <v>80018</v>
      </c>
      <c r="G12" s="1652">
        <f t="shared" ref="G12:G22" si="11">G11*1.0175</f>
        <v>122803.89571450002</v>
      </c>
      <c r="H12" s="1652">
        <v>80019</v>
      </c>
      <c r="I12" s="1652">
        <f t="shared" ref="I12:I22" si="12">I11*1.0175</f>
        <v>246486.37749485759</v>
      </c>
      <c r="J12" s="1652">
        <v>80020</v>
      </c>
      <c r="K12" s="1652">
        <f t="shared" ref="K12:K22" si="13">K11*1.0175</f>
        <v>153823.05606104943</v>
      </c>
      <c r="L12" s="1652">
        <v>80021</v>
      </c>
      <c r="M12" s="1652">
        <f t="shared" ref="M12:M22" si="14">M11*1.0175</f>
        <v>162933.85500579688</v>
      </c>
      <c r="N12" s="1653">
        <v>80022</v>
      </c>
      <c r="O12" s="1654">
        <v>2013</v>
      </c>
      <c r="P12" s="1620"/>
      <c r="Q12" s="1655"/>
      <c r="R12" s="1674">
        <f t="shared" si="5"/>
        <v>116974.25899645739</v>
      </c>
      <c r="S12" s="1675">
        <v>93703</v>
      </c>
      <c r="T12" s="1675">
        <f t="shared" si="6"/>
        <v>143680.55798596502</v>
      </c>
      <c r="U12" s="1675">
        <v>93704</v>
      </c>
      <c r="V12" s="1675">
        <f t="shared" si="7"/>
        <v>288389.06166898337</v>
      </c>
      <c r="W12" s="1675">
        <v>93705</v>
      </c>
      <c r="X12" s="1675">
        <f t="shared" si="8"/>
        <v>179972.97559142782</v>
      </c>
      <c r="Y12" s="1675">
        <v>93706</v>
      </c>
      <c r="Z12" s="1675">
        <f t="shared" si="9"/>
        <v>187373.93325666641</v>
      </c>
      <c r="AA12" s="1675">
        <v>93707</v>
      </c>
      <c r="AB12" s="3"/>
    </row>
    <row r="13" spans="1:28" ht="15" customHeight="1" x14ac:dyDescent="0.3">
      <c r="A13" s="79"/>
      <c r="B13" s="1654">
        <v>2014</v>
      </c>
      <c r="C13" s="1620"/>
      <c r="D13" s="1655"/>
      <c r="E13" s="1656">
        <f t="shared" si="10"/>
        <v>101727.61412726103</v>
      </c>
      <c r="F13" s="1652">
        <v>80019</v>
      </c>
      <c r="G13" s="1652">
        <f t="shared" si="11"/>
        <v>124952.96388950378</v>
      </c>
      <c r="H13" s="1652">
        <v>80020</v>
      </c>
      <c r="I13" s="1652">
        <f t="shared" si="12"/>
        <v>250799.88910101762</v>
      </c>
      <c r="J13" s="1652">
        <v>80021</v>
      </c>
      <c r="K13" s="1652">
        <f t="shared" si="13"/>
        <v>156514.95954211781</v>
      </c>
      <c r="L13" s="1652">
        <v>80022</v>
      </c>
      <c r="M13" s="1652">
        <f t="shared" si="14"/>
        <v>165785.19746839834</v>
      </c>
      <c r="N13" s="1653">
        <v>80023</v>
      </c>
      <c r="O13" s="1654">
        <v>2014</v>
      </c>
      <c r="P13" s="1620"/>
      <c r="Q13" s="1655"/>
      <c r="R13" s="1674">
        <f t="shared" si="5"/>
        <v>119021.30852889539</v>
      </c>
      <c r="S13" s="1675">
        <v>93704</v>
      </c>
      <c r="T13" s="1675">
        <f t="shared" si="6"/>
        <v>146194.9677507194</v>
      </c>
      <c r="U13" s="1675">
        <v>93705</v>
      </c>
      <c r="V13" s="1675">
        <f t="shared" si="7"/>
        <v>293435.87024819059</v>
      </c>
      <c r="W13" s="1675">
        <v>93706</v>
      </c>
      <c r="X13" s="1675">
        <f t="shared" si="8"/>
        <v>183122.50266427782</v>
      </c>
      <c r="Y13" s="1675">
        <v>93707</v>
      </c>
      <c r="Z13" s="1675">
        <f t="shared" si="9"/>
        <v>190652.97708865808</v>
      </c>
      <c r="AA13" s="1675">
        <v>93708</v>
      </c>
      <c r="AB13" s="3"/>
    </row>
    <row r="14" spans="1:28" ht="15" customHeight="1" x14ac:dyDescent="0.3">
      <c r="A14" s="79"/>
      <c r="B14" s="1654">
        <v>2015</v>
      </c>
      <c r="C14" s="1620"/>
      <c r="D14" s="1655"/>
      <c r="E14" s="1656">
        <f t="shared" si="10"/>
        <v>103507.8473744881</v>
      </c>
      <c r="F14" s="1652">
        <v>80020</v>
      </c>
      <c r="G14" s="1652">
        <f t="shared" si="11"/>
        <v>127139.6407575701</v>
      </c>
      <c r="H14" s="1652">
        <v>80021</v>
      </c>
      <c r="I14" s="1652">
        <f t="shared" si="12"/>
        <v>255188.88716028543</v>
      </c>
      <c r="J14" s="1652">
        <v>80022</v>
      </c>
      <c r="K14" s="1652">
        <f t="shared" si="13"/>
        <v>159253.97133410489</v>
      </c>
      <c r="L14" s="1652">
        <v>80023</v>
      </c>
      <c r="M14" s="1652">
        <f t="shared" si="14"/>
        <v>168686.43842409534</v>
      </c>
      <c r="N14" s="1653">
        <v>80024</v>
      </c>
      <c r="O14" s="1654">
        <v>2015</v>
      </c>
      <c r="P14" s="1620"/>
      <c r="Q14" s="1655"/>
      <c r="R14" s="1674">
        <f t="shared" si="5"/>
        <v>121104.18142815107</v>
      </c>
      <c r="S14" s="1675">
        <v>93705</v>
      </c>
      <c r="T14" s="1675">
        <f t="shared" si="6"/>
        <v>148753.37968635702</v>
      </c>
      <c r="U14" s="1675">
        <v>93706</v>
      </c>
      <c r="V14" s="1675">
        <f t="shared" si="7"/>
        <v>298570.99797753396</v>
      </c>
      <c r="W14" s="1675">
        <v>93707</v>
      </c>
      <c r="X14" s="1675">
        <f t="shared" si="8"/>
        <v>186327.1464609027</v>
      </c>
      <c r="Y14" s="1675">
        <v>93708</v>
      </c>
      <c r="Z14" s="1675">
        <f t="shared" si="9"/>
        <v>193989.40418770962</v>
      </c>
      <c r="AA14" s="1675">
        <v>93709</v>
      </c>
      <c r="AB14" s="3"/>
    </row>
    <row r="15" spans="1:28" ht="15" customHeight="1" x14ac:dyDescent="0.3">
      <c r="A15" s="79"/>
      <c r="B15" s="1654">
        <v>2016</v>
      </c>
      <c r="C15" s="1620"/>
      <c r="D15" s="1655"/>
      <c r="E15" s="1656">
        <f t="shared" si="10"/>
        <v>105319.23470354166</v>
      </c>
      <c r="F15" s="1652">
        <v>80021</v>
      </c>
      <c r="G15" s="1652">
        <f t="shared" si="11"/>
        <v>129364.58447082758</v>
      </c>
      <c r="H15" s="1652">
        <v>80022</v>
      </c>
      <c r="I15" s="1652">
        <f t="shared" si="12"/>
        <v>259654.69268559045</v>
      </c>
      <c r="J15" s="1652">
        <v>80023</v>
      </c>
      <c r="K15" s="1652">
        <f t="shared" si="13"/>
        <v>162040.91583245175</v>
      </c>
      <c r="L15" s="1652">
        <v>80024</v>
      </c>
      <c r="M15" s="1652">
        <f t="shared" si="14"/>
        <v>171638.451096517</v>
      </c>
      <c r="N15" s="1653">
        <v>80025</v>
      </c>
      <c r="O15" s="1654">
        <v>2016</v>
      </c>
      <c r="P15" s="1620"/>
      <c r="Q15" s="1655"/>
      <c r="R15" s="1674">
        <f t="shared" si="5"/>
        <v>123223.50460314374</v>
      </c>
      <c r="S15" s="1675">
        <v>93706</v>
      </c>
      <c r="T15" s="1675">
        <f t="shared" si="6"/>
        <v>151356.56383086825</v>
      </c>
      <c r="U15" s="1675">
        <v>93707</v>
      </c>
      <c r="V15" s="1675">
        <f t="shared" si="7"/>
        <v>303795.99044214078</v>
      </c>
      <c r="W15" s="1675">
        <v>93708</v>
      </c>
      <c r="X15" s="1675">
        <f t="shared" si="8"/>
        <v>189587.87152396853</v>
      </c>
      <c r="Y15" s="1675">
        <v>93709</v>
      </c>
      <c r="Z15" s="1675">
        <f t="shared" si="9"/>
        <v>197384.21876099455</v>
      </c>
      <c r="AA15" s="1675">
        <v>93710</v>
      </c>
      <c r="AB15" s="3"/>
    </row>
    <row r="16" spans="1:28" ht="15" customHeight="1" x14ac:dyDescent="0.3">
      <c r="A16" s="79"/>
      <c r="B16" s="1654">
        <v>2017</v>
      </c>
      <c r="C16" s="1620"/>
      <c r="D16" s="1655"/>
      <c r="E16" s="1656">
        <f t="shared" si="10"/>
        <v>107162.32131085364</v>
      </c>
      <c r="F16" s="1652">
        <v>80022</v>
      </c>
      <c r="G16" s="1652">
        <f t="shared" si="11"/>
        <v>131628.46469906709</v>
      </c>
      <c r="H16" s="1652">
        <v>80023</v>
      </c>
      <c r="I16" s="1652">
        <f t="shared" si="12"/>
        <v>264198.64980758831</v>
      </c>
      <c r="J16" s="1652">
        <v>80024</v>
      </c>
      <c r="K16" s="1652">
        <f t="shared" si="13"/>
        <v>164876.63185951966</v>
      </c>
      <c r="L16" s="1652">
        <v>80025</v>
      </c>
      <c r="M16" s="1652">
        <f t="shared" si="14"/>
        <v>174642.12399070605</v>
      </c>
      <c r="N16" s="1653">
        <v>80026</v>
      </c>
      <c r="O16" s="1654">
        <v>2017</v>
      </c>
      <c r="P16" s="1620"/>
      <c r="Q16" s="1655"/>
      <c r="R16" s="1674">
        <f t="shared" si="5"/>
        <v>125379.91593369875</v>
      </c>
      <c r="S16" s="1675">
        <v>93707</v>
      </c>
      <c r="T16" s="1675">
        <f t="shared" si="6"/>
        <v>154005.30369790847</v>
      </c>
      <c r="U16" s="1675">
        <v>93708</v>
      </c>
      <c r="V16" s="1675">
        <f t="shared" si="7"/>
        <v>309112.42027487833</v>
      </c>
      <c r="W16" s="1675">
        <v>93709</v>
      </c>
      <c r="X16" s="1675">
        <f t="shared" si="8"/>
        <v>192905.659275638</v>
      </c>
      <c r="Y16" s="1675">
        <v>93710</v>
      </c>
      <c r="Z16" s="1675">
        <f t="shared" si="9"/>
        <v>200838.44258931195</v>
      </c>
      <c r="AA16" s="1675">
        <v>93711</v>
      </c>
      <c r="AB16" s="3"/>
    </row>
    <row r="17" spans="1:28" ht="15" customHeight="1" x14ac:dyDescent="0.3">
      <c r="A17" s="79"/>
      <c r="B17" s="1654">
        <v>2018</v>
      </c>
      <c r="C17" s="1620"/>
      <c r="D17" s="1655"/>
      <c r="E17" s="1656">
        <f t="shared" si="10"/>
        <v>109037.66193379358</v>
      </c>
      <c r="F17" s="1652">
        <v>80023</v>
      </c>
      <c r="G17" s="1652">
        <f t="shared" si="11"/>
        <v>133931.96283130077</v>
      </c>
      <c r="H17" s="1652">
        <v>80024</v>
      </c>
      <c r="I17" s="1652">
        <f t="shared" si="12"/>
        <v>268822.12617922114</v>
      </c>
      <c r="J17" s="1652">
        <v>80025</v>
      </c>
      <c r="K17" s="1652">
        <f t="shared" si="13"/>
        <v>167761.97291706127</v>
      </c>
      <c r="L17" s="1652">
        <v>80026</v>
      </c>
      <c r="M17" s="1652">
        <f t="shared" si="14"/>
        <v>177698.36116054343</v>
      </c>
      <c r="N17" s="1653">
        <v>80027</v>
      </c>
      <c r="O17" s="1654">
        <v>2018</v>
      </c>
      <c r="P17" s="1620"/>
      <c r="Q17" s="1655"/>
      <c r="R17" s="1674">
        <f t="shared" si="5"/>
        <v>127574.06446253849</v>
      </c>
      <c r="S17" s="1675">
        <v>93708</v>
      </c>
      <c r="T17" s="1675">
        <f t="shared" si="6"/>
        <v>156700.3965126219</v>
      </c>
      <c r="U17" s="1675">
        <v>93709</v>
      </c>
      <c r="V17" s="1675">
        <f t="shared" si="7"/>
        <v>314521.88762968872</v>
      </c>
      <c r="W17" s="1675">
        <v>93710</v>
      </c>
      <c r="X17" s="1675">
        <f t="shared" si="8"/>
        <v>196281.50831296167</v>
      </c>
      <c r="Y17" s="1675">
        <v>93711</v>
      </c>
      <c r="Z17" s="1675">
        <f t="shared" si="9"/>
        <v>204353.11533462492</v>
      </c>
      <c r="AA17" s="1675">
        <v>93712</v>
      </c>
      <c r="AB17" s="3"/>
    </row>
    <row r="18" spans="1:28" ht="15" customHeight="1" x14ac:dyDescent="0.3">
      <c r="A18" s="79"/>
      <c r="B18" s="1654">
        <v>2019</v>
      </c>
      <c r="C18" s="1620"/>
      <c r="D18" s="1655"/>
      <c r="E18" s="1656">
        <f t="shared" si="10"/>
        <v>110945.82101763498</v>
      </c>
      <c r="F18" s="1652">
        <v>80024</v>
      </c>
      <c r="G18" s="1652">
        <f t="shared" si="11"/>
        <v>136275.77218084855</v>
      </c>
      <c r="H18" s="1652">
        <v>80025</v>
      </c>
      <c r="I18" s="1652">
        <f t="shared" si="12"/>
        <v>273526.51338735753</v>
      </c>
      <c r="J18" s="1652">
        <v>80026</v>
      </c>
      <c r="K18" s="1652">
        <f t="shared" si="13"/>
        <v>170697.80744310986</v>
      </c>
      <c r="L18" s="1652">
        <v>80027</v>
      </c>
      <c r="M18" s="1652">
        <f t="shared" si="14"/>
        <v>180808.08248085296</v>
      </c>
      <c r="N18" s="1653">
        <v>80028</v>
      </c>
      <c r="O18" s="1654">
        <v>2019</v>
      </c>
      <c r="P18" s="1620"/>
      <c r="Q18" s="1655"/>
      <c r="R18" s="1674">
        <f t="shared" si="5"/>
        <v>129806.61059063292</v>
      </c>
      <c r="S18" s="1675">
        <v>93709</v>
      </c>
      <c r="T18" s="1675">
        <f t="shared" si="6"/>
        <v>159442.65345159281</v>
      </c>
      <c r="U18" s="1675">
        <v>93710</v>
      </c>
      <c r="V18" s="1675">
        <f t="shared" si="7"/>
        <v>320026.02066320827</v>
      </c>
      <c r="W18" s="1675">
        <v>93711</v>
      </c>
      <c r="X18" s="1675">
        <f t="shared" si="8"/>
        <v>199716.43470843852</v>
      </c>
      <c r="Y18" s="1675">
        <v>93712</v>
      </c>
      <c r="Z18" s="1675">
        <f t="shared" si="9"/>
        <v>207929.29485298088</v>
      </c>
      <c r="AA18" s="1675">
        <v>93713</v>
      </c>
      <c r="AB18" s="3"/>
    </row>
    <row r="19" spans="1:28" ht="15" customHeight="1" x14ac:dyDescent="0.3">
      <c r="A19" s="79"/>
      <c r="B19" s="1654">
        <v>2020</v>
      </c>
      <c r="C19" s="1620"/>
      <c r="D19" s="1655"/>
      <c r="E19" s="1656">
        <f t="shared" si="10"/>
        <v>112887.3728854436</v>
      </c>
      <c r="F19" s="1652">
        <v>80025</v>
      </c>
      <c r="G19" s="1652">
        <f t="shared" si="11"/>
        <v>138660.59819401341</v>
      </c>
      <c r="H19" s="1652">
        <v>80026</v>
      </c>
      <c r="I19" s="1652">
        <f t="shared" si="12"/>
        <v>278313.22737163631</v>
      </c>
      <c r="J19" s="1652">
        <v>80027</v>
      </c>
      <c r="K19" s="1652">
        <f t="shared" si="13"/>
        <v>173685.0190733643</v>
      </c>
      <c r="L19" s="1652">
        <v>80028</v>
      </c>
      <c r="M19" s="1652">
        <f t="shared" si="14"/>
        <v>183972.22392426789</v>
      </c>
      <c r="N19" s="1653">
        <v>80029</v>
      </c>
      <c r="O19" s="1654">
        <v>2020</v>
      </c>
      <c r="P19" s="1620"/>
      <c r="Q19" s="1655"/>
      <c r="R19" s="1674">
        <f t="shared" si="5"/>
        <v>132078.22627596901</v>
      </c>
      <c r="S19" s="1675">
        <v>93710</v>
      </c>
      <c r="T19" s="1675">
        <f t="shared" si="6"/>
        <v>162232.89988699567</v>
      </c>
      <c r="U19" s="1675">
        <v>93711</v>
      </c>
      <c r="V19" s="1675">
        <f t="shared" si="7"/>
        <v>325626.47602481447</v>
      </c>
      <c r="W19" s="1675">
        <v>93712</v>
      </c>
      <c r="X19" s="1675">
        <f t="shared" si="8"/>
        <v>203211.4723158362</v>
      </c>
      <c r="Y19" s="1675">
        <v>93713</v>
      </c>
      <c r="Z19" s="1675">
        <f t="shared" si="9"/>
        <v>211568.05751290807</v>
      </c>
      <c r="AA19" s="1675">
        <v>93714</v>
      </c>
      <c r="AB19" s="3"/>
    </row>
    <row r="20" spans="1:28" ht="15" customHeight="1" x14ac:dyDescent="0.3">
      <c r="A20" s="79"/>
      <c r="B20" s="1654">
        <v>2021</v>
      </c>
      <c r="C20" s="1620"/>
      <c r="D20" s="1655"/>
      <c r="E20" s="1656">
        <f t="shared" si="10"/>
        <v>114862.90191093888</v>
      </c>
      <c r="F20" s="1652">
        <v>80026</v>
      </c>
      <c r="G20" s="1652">
        <f t="shared" si="11"/>
        <v>141087.15866240865</v>
      </c>
      <c r="H20" s="1652">
        <v>80027</v>
      </c>
      <c r="I20" s="1652">
        <f t="shared" si="12"/>
        <v>283183.70885063999</v>
      </c>
      <c r="J20" s="1652">
        <v>80028</v>
      </c>
      <c r="K20" s="1652">
        <f t="shared" si="13"/>
        <v>176724.50690714817</v>
      </c>
      <c r="L20" s="1652">
        <v>80029</v>
      </c>
      <c r="M20" s="1652">
        <f t="shared" si="14"/>
        <v>187191.73784294259</v>
      </c>
      <c r="N20" s="1653">
        <v>80030</v>
      </c>
      <c r="O20" s="1654">
        <v>2021</v>
      </c>
      <c r="P20" s="1620"/>
      <c r="Q20" s="1655"/>
      <c r="R20" s="1674">
        <f t="shared" si="5"/>
        <v>134389.59523579848</v>
      </c>
      <c r="S20" s="1675">
        <v>93711</v>
      </c>
      <c r="T20" s="1675">
        <f t="shared" si="6"/>
        <v>165071.97563501811</v>
      </c>
      <c r="U20" s="1675">
        <v>93712</v>
      </c>
      <c r="V20" s="1675">
        <f t="shared" si="7"/>
        <v>331324.93935524876</v>
      </c>
      <c r="W20" s="1675">
        <v>93713</v>
      </c>
      <c r="X20" s="1675">
        <f t="shared" si="8"/>
        <v>206767.67308136335</v>
      </c>
      <c r="Y20" s="1675">
        <v>93714</v>
      </c>
      <c r="Z20" s="1675">
        <f t="shared" si="9"/>
        <v>215270.49851938395</v>
      </c>
      <c r="AA20" s="1675">
        <v>93715</v>
      </c>
      <c r="AB20" s="3"/>
    </row>
    <row r="21" spans="1:28" ht="15" customHeight="1" x14ac:dyDescent="0.3">
      <c r="A21" s="79"/>
      <c r="B21" s="1654">
        <v>2022</v>
      </c>
      <c r="C21" s="1620"/>
      <c r="D21" s="1655"/>
      <c r="E21" s="1656">
        <f t="shared" si="10"/>
        <v>116873.00269438031</v>
      </c>
      <c r="F21" s="1652">
        <v>80027</v>
      </c>
      <c r="G21" s="1652">
        <f t="shared" si="11"/>
        <v>143556.1839390008</v>
      </c>
      <c r="H21" s="1652">
        <v>80028</v>
      </c>
      <c r="I21" s="1652">
        <f t="shared" si="12"/>
        <v>288139.42375552619</v>
      </c>
      <c r="J21" s="1652">
        <v>80029</v>
      </c>
      <c r="K21" s="1652">
        <f t="shared" si="13"/>
        <v>179817.18577802327</v>
      </c>
      <c r="L21" s="1652">
        <v>80030</v>
      </c>
      <c r="M21" s="1652">
        <f t="shared" si="14"/>
        <v>190467.59325519411</v>
      </c>
      <c r="N21" s="1653">
        <v>80031</v>
      </c>
      <c r="O21" s="1654">
        <v>2022</v>
      </c>
      <c r="P21" s="1620"/>
      <c r="Q21" s="1655"/>
      <c r="R21" s="1674">
        <f t="shared" si="5"/>
        <v>136741.41315242497</v>
      </c>
      <c r="S21" s="1675">
        <v>93712</v>
      </c>
      <c r="T21" s="1675">
        <f t="shared" si="6"/>
        <v>167960.73520863091</v>
      </c>
      <c r="U21" s="1675">
        <v>93713</v>
      </c>
      <c r="V21" s="1675">
        <f t="shared" si="7"/>
        <v>337123.12579396565</v>
      </c>
      <c r="W21" s="1675">
        <v>93714</v>
      </c>
      <c r="X21" s="1675">
        <f t="shared" si="8"/>
        <v>210386.10736028722</v>
      </c>
      <c r="Y21" s="1675">
        <v>93715</v>
      </c>
      <c r="Z21" s="1675">
        <f t="shared" si="9"/>
        <v>219037.73224347321</v>
      </c>
      <c r="AA21" s="1675">
        <v>93716</v>
      </c>
      <c r="AB21" s="3"/>
    </row>
    <row r="22" spans="1:28" ht="15" customHeight="1" thickBot="1" x14ac:dyDescent="0.35">
      <c r="A22" s="79"/>
      <c r="B22" s="1646">
        <v>2023</v>
      </c>
      <c r="C22" s="1647"/>
      <c r="D22" s="1648"/>
      <c r="E22" s="1649">
        <f t="shared" si="10"/>
        <v>118918.28024153197</v>
      </c>
      <c r="F22" s="1650">
        <v>80028</v>
      </c>
      <c r="G22" s="1650">
        <f t="shared" si="11"/>
        <v>146068.41715793332</v>
      </c>
      <c r="H22" s="1650">
        <v>80029</v>
      </c>
      <c r="I22" s="1650">
        <f t="shared" si="12"/>
        <v>293181.86367124791</v>
      </c>
      <c r="J22" s="1650">
        <v>80030</v>
      </c>
      <c r="K22" s="1650">
        <f t="shared" si="13"/>
        <v>182963.9865291387</v>
      </c>
      <c r="L22" s="1650">
        <v>80031</v>
      </c>
      <c r="M22" s="1650">
        <f t="shared" si="14"/>
        <v>193800.77613716002</v>
      </c>
      <c r="N22" s="1651">
        <v>80032</v>
      </c>
      <c r="O22" s="1646">
        <v>2023</v>
      </c>
      <c r="P22" s="1647"/>
      <c r="Q22" s="1648"/>
      <c r="R22" s="1674">
        <f t="shared" si="5"/>
        <v>139134.38788259239</v>
      </c>
      <c r="S22" s="1675">
        <v>93713</v>
      </c>
      <c r="T22" s="1675">
        <f t="shared" si="6"/>
        <v>170900.04807478198</v>
      </c>
      <c r="U22" s="1675">
        <v>93714</v>
      </c>
      <c r="V22" s="1675">
        <f t="shared" si="7"/>
        <v>343022.78049536003</v>
      </c>
      <c r="W22" s="1675">
        <v>93715</v>
      </c>
      <c r="X22" s="1675">
        <f t="shared" si="8"/>
        <v>214067.86423909225</v>
      </c>
      <c r="Y22" s="1675">
        <v>93716</v>
      </c>
      <c r="Z22" s="1675">
        <f t="shared" si="9"/>
        <v>222870.89255773401</v>
      </c>
      <c r="AA22" s="1675">
        <v>93717</v>
      </c>
      <c r="AB22" s="3"/>
    </row>
    <row r="23" spans="1:28" ht="15" customHeight="1" x14ac:dyDescent="0.3">
      <c r="A23" s="79"/>
      <c r="B23" s="148"/>
      <c r="C23" s="148"/>
      <c r="D23" s="148"/>
      <c r="E23" s="148"/>
      <c r="F23" s="148"/>
      <c r="G23" s="148"/>
      <c r="H23" s="148"/>
      <c r="I23" s="148"/>
      <c r="J23" s="148"/>
      <c r="K23" s="148"/>
      <c r="L23" s="148"/>
      <c r="M23" s="148"/>
      <c r="N23" s="148"/>
      <c r="O23" s="3"/>
      <c r="P23" s="3"/>
      <c r="Q23" s="3"/>
      <c r="R23" s="79"/>
      <c r="S23" s="3"/>
      <c r="T23" s="3"/>
      <c r="U23" s="3"/>
      <c r="V23" s="3"/>
      <c r="W23" s="3"/>
      <c r="X23" s="3"/>
      <c r="Y23" s="3"/>
      <c r="Z23" s="3"/>
      <c r="AA23" s="3"/>
      <c r="AB23" s="3"/>
    </row>
    <row r="24" spans="1:28" ht="15" customHeight="1" x14ac:dyDescent="0.3">
      <c r="A24" s="79"/>
      <c r="B24" s="79"/>
      <c r="C24" s="1645" t="s">
        <v>332</v>
      </c>
      <c r="D24" s="1645"/>
      <c r="E24" s="1645"/>
      <c r="F24" s="1645"/>
      <c r="G24" s="1645"/>
      <c r="H24" s="1645"/>
      <c r="I24" s="1645"/>
      <c r="J24" s="1645"/>
      <c r="K24" s="79"/>
      <c r="L24" s="79"/>
      <c r="M24" s="79"/>
      <c r="N24" s="79"/>
      <c r="O24" s="3"/>
      <c r="P24" s="3"/>
      <c r="Q24" s="3"/>
      <c r="R24" s="79"/>
      <c r="S24" s="3"/>
      <c r="T24" s="3"/>
      <c r="U24" s="3"/>
      <c r="V24" s="3"/>
      <c r="W24" s="3"/>
      <c r="X24" s="3"/>
      <c r="Y24" s="3"/>
      <c r="Z24" s="3"/>
      <c r="AA24" s="3"/>
      <c r="AB24" s="3"/>
    </row>
    <row r="25" spans="1:28" ht="15" customHeight="1" x14ac:dyDescent="0.3">
      <c r="A25" s="79"/>
      <c r="B25" s="79"/>
      <c r="C25" s="1645"/>
      <c r="D25" s="1645"/>
      <c r="E25" s="1645"/>
      <c r="F25" s="1645"/>
      <c r="G25" s="1645"/>
      <c r="H25" s="1645"/>
      <c r="I25" s="1645"/>
      <c r="J25" s="1645"/>
      <c r="K25" s="79"/>
      <c r="L25" s="79"/>
      <c r="M25" s="79"/>
      <c r="N25" s="79"/>
      <c r="O25" s="3"/>
      <c r="P25" s="3"/>
      <c r="Q25" s="3"/>
      <c r="R25" s="3"/>
      <c r="S25" s="3"/>
      <c r="T25" s="3"/>
      <c r="U25" s="3"/>
      <c r="V25" s="3"/>
      <c r="W25" s="3"/>
      <c r="X25" s="3"/>
      <c r="Y25" s="3"/>
      <c r="Z25" s="3"/>
      <c r="AA25" s="3"/>
      <c r="AB25" s="3"/>
    </row>
    <row r="26" spans="1:28" ht="15" customHeight="1" x14ac:dyDescent="0.3">
      <c r="A26" s="79"/>
      <c r="B26" s="79"/>
      <c r="C26" s="79"/>
      <c r="D26" s="79"/>
      <c r="E26" s="79">
        <v>1</v>
      </c>
      <c r="F26" s="2" t="s">
        <v>340</v>
      </c>
      <c r="G26" s="79"/>
      <c r="H26" s="79"/>
      <c r="I26" s="79"/>
      <c r="J26" s="79"/>
      <c r="K26" s="79"/>
      <c r="L26" s="79"/>
      <c r="M26" s="79"/>
      <c r="N26" s="79"/>
      <c r="O26" s="3"/>
      <c r="P26" s="3"/>
      <c r="Q26" s="3"/>
      <c r="R26" s="79"/>
      <c r="S26" s="3"/>
      <c r="T26" s="3"/>
      <c r="U26" s="3"/>
      <c r="V26" s="3"/>
      <c r="W26" s="3"/>
      <c r="X26" s="3"/>
      <c r="Y26" s="3"/>
      <c r="Z26" s="3"/>
      <c r="AA26" s="3"/>
      <c r="AB26" s="3"/>
    </row>
    <row r="27" spans="1:28" ht="15" customHeight="1" x14ac:dyDescent="0.3">
      <c r="A27" s="79"/>
      <c r="B27" s="79"/>
      <c r="C27" s="79"/>
      <c r="D27" s="79"/>
      <c r="E27" s="79">
        <v>2</v>
      </c>
      <c r="F27" s="3" t="s">
        <v>341</v>
      </c>
      <c r="G27" s="79"/>
      <c r="H27" s="79"/>
      <c r="I27" s="79"/>
      <c r="J27" s="79"/>
      <c r="K27" s="79"/>
      <c r="L27" s="79"/>
      <c r="M27" s="79"/>
      <c r="N27" s="79"/>
      <c r="O27" s="3"/>
      <c r="P27" s="3"/>
      <c r="Q27" s="3"/>
      <c r="R27" s="79"/>
      <c r="S27" s="3"/>
      <c r="T27" s="3"/>
      <c r="U27" s="3"/>
      <c r="V27" s="3"/>
      <c r="W27" s="3"/>
      <c r="X27" s="3"/>
      <c r="Y27" s="3"/>
      <c r="Z27" s="3"/>
      <c r="AA27" s="3"/>
      <c r="AB27" s="3"/>
    </row>
    <row r="28" spans="1:28" ht="15" customHeight="1" x14ac:dyDescent="0.3">
      <c r="A28" s="79"/>
      <c r="B28" s="79"/>
      <c r="C28" s="79"/>
      <c r="D28" s="79"/>
      <c r="E28" s="79">
        <v>3</v>
      </c>
      <c r="F28" s="2" t="s">
        <v>342</v>
      </c>
      <c r="G28" s="79"/>
      <c r="H28" s="79"/>
      <c r="I28" s="79"/>
      <c r="J28" s="79"/>
      <c r="K28" s="79"/>
      <c r="L28" s="79"/>
      <c r="M28" s="79"/>
      <c r="N28" s="79"/>
      <c r="O28" s="3"/>
      <c r="P28" s="3"/>
      <c r="Q28" s="3"/>
      <c r="R28" s="79"/>
      <c r="S28" s="3"/>
      <c r="T28" s="3"/>
      <c r="U28" s="3"/>
      <c r="V28" s="3"/>
      <c r="W28" s="3"/>
      <c r="X28" s="3"/>
      <c r="Y28" s="3"/>
      <c r="Z28" s="3"/>
      <c r="AA28" s="3"/>
      <c r="AB28" s="3"/>
    </row>
    <row r="29" spans="1:28" ht="15" customHeight="1" x14ac:dyDescent="0.3">
      <c r="A29" s="79"/>
      <c r="B29" s="79"/>
      <c r="C29" s="79"/>
      <c r="D29" s="79"/>
      <c r="E29" s="79">
        <v>4</v>
      </c>
      <c r="F29" s="79" t="s">
        <v>343</v>
      </c>
      <c r="G29" s="79"/>
      <c r="H29" s="79"/>
      <c r="I29" s="79"/>
      <c r="J29" s="79"/>
      <c r="K29" s="79"/>
      <c r="L29" s="79"/>
      <c r="M29" s="79"/>
      <c r="N29" s="79"/>
      <c r="O29" s="3"/>
      <c r="P29" s="3"/>
      <c r="Q29" s="3"/>
      <c r="R29" s="79"/>
      <c r="S29" s="3"/>
      <c r="T29" s="3"/>
      <c r="U29" s="3"/>
      <c r="V29" s="3"/>
      <c r="W29" s="3"/>
      <c r="X29" s="3"/>
      <c r="Y29" s="3"/>
      <c r="Z29" s="3"/>
      <c r="AA29" s="3"/>
      <c r="AB29" s="3"/>
    </row>
    <row r="30" spans="1:28" ht="15" customHeight="1" x14ac:dyDescent="0.3">
      <c r="A30" s="79"/>
      <c r="B30" s="79"/>
      <c r="C30" s="79"/>
      <c r="D30" s="79"/>
      <c r="E30" s="79"/>
      <c r="F30" s="79"/>
      <c r="G30" s="79"/>
      <c r="H30" s="79"/>
      <c r="I30" s="79"/>
      <c r="J30" s="79"/>
      <c r="K30" s="79"/>
      <c r="L30" s="79"/>
      <c r="M30" s="79"/>
      <c r="N30" s="79"/>
      <c r="O30" s="3"/>
      <c r="P30" s="3"/>
      <c r="Q30" s="3"/>
      <c r="R30" s="79"/>
      <c r="S30" s="3"/>
      <c r="T30" s="3"/>
      <c r="U30" s="3"/>
      <c r="V30" s="3"/>
      <c r="W30" s="3"/>
      <c r="X30" s="3"/>
      <c r="Y30" s="3"/>
      <c r="Z30" s="3"/>
      <c r="AA30" s="3"/>
      <c r="AB30" s="3"/>
    </row>
    <row r="31" spans="1:28" ht="15" customHeight="1" x14ac:dyDescent="0.3">
      <c r="A31" s="79"/>
      <c r="B31" s="79"/>
      <c r="C31" s="79"/>
      <c r="D31" s="79"/>
      <c r="E31" s="79"/>
      <c r="F31" s="79"/>
      <c r="G31" s="79"/>
      <c r="H31" s="79"/>
      <c r="I31" s="79"/>
      <c r="J31" s="79"/>
      <c r="K31" s="79"/>
      <c r="L31" s="79"/>
      <c r="M31" s="79"/>
      <c r="N31" s="79"/>
      <c r="O31" s="3"/>
      <c r="P31" s="3"/>
      <c r="Q31" s="3"/>
      <c r="R31" s="79"/>
      <c r="S31" s="3"/>
      <c r="T31" s="3"/>
      <c r="U31" s="3"/>
      <c r="V31" s="3"/>
      <c r="W31" s="3"/>
      <c r="X31" s="3"/>
      <c r="Y31" s="3"/>
      <c r="Z31" s="3"/>
      <c r="AA31" s="3"/>
      <c r="AB31" s="3"/>
    </row>
    <row r="32" spans="1:28" ht="15" customHeight="1" x14ac:dyDescent="0.3">
      <c r="A32" s="79"/>
      <c r="B32" s="3"/>
      <c r="C32" s="3"/>
      <c r="D32" s="3"/>
      <c r="E32" s="3"/>
      <c r="F32" s="79"/>
      <c r="G32" s="3"/>
      <c r="H32" s="3"/>
      <c r="I32" s="3"/>
      <c r="J32" s="3"/>
      <c r="K32" s="3"/>
      <c r="L32" s="3"/>
      <c r="M32" s="3"/>
      <c r="N32" s="3"/>
      <c r="O32" s="3"/>
      <c r="P32" s="3"/>
      <c r="Q32" s="3"/>
      <c r="R32" s="79"/>
      <c r="S32" s="3"/>
      <c r="T32" s="3"/>
      <c r="U32" s="3"/>
      <c r="V32" s="3"/>
      <c r="W32" s="3"/>
      <c r="X32" s="3"/>
      <c r="Y32" s="3"/>
      <c r="Z32" s="3"/>
      <c r="AA32" s="3"/>
      <c r="AB32" s="3"/>
    </row>
    <row r="33" spans="1:28" ht="15" customHeight="1" x14ac:dyDescent="0.3">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row>
    <row r="34" spans="1:28" ht="15" customHeight="1" x14ac:dyDescent="0.3">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row>
    <row r="35" spans="1:28" ht="15" customHeigh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7.399999999999999" customHeight="1" x14ac:dyDescent="0.3">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row>
    <row r="37" spans="1:28" ht="1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5" customHeight="1"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 customHeight="1" x14ac:dyDescent="0.3">
      <c r="A39" s="3"/>
      <c r="B39" s="3"/>
      <c r="C39" s="3"/>
      <c r="D39" s="3"/>
      <c r="E39" s="26" t="s">
        <v>231</v>
      </c>
      <c r="F39" s="256"/>
      <c r="G39" s="3"/>
      <c r="H39" s="3"/>
      <c r="I39" s="3"/>
      <c r="J39" s="3"/>
      <c r="K39" s="3"/>
      <c r="L39" s="3"/>
      <c r="M39" s="3"/>
      <c r="N39" s="3"/>
      <c r="O39" s="3"/>
      <c r="P39" s="3"/>
      <c r="Q39" s="3"/>
      <c r="R39" s="3"/>
      <c r="S39" s="3"/>
      <c r="T39" s="3"/>
      <c r="U39" s="799"/>
      <c r="V39" s="799" t="s">
        <v>335</v>
      </c>
      <c r="W39" s="799"/>
      <c r="X39" s="799"/>
      <c r="Y39" s="3"/>
      <c r="Z39" s="3"/>
      <c r="AA39" s="3"/>
      <c r="AB39" s="3"/>
    </row>
    <row r="40" spans="1:28" ht="15" customHeight="1" x14ac:dyDescent="0.3">
      <c r="A40" s="3"/>
      <c r="B40" s="3"/>
      <c r="C40" s="3"/>
      <c r="D40" s="3"/>
      <c r="E40" s="1630" t="s">
        <v>229</v>
      </c>
      <c r="F40" s="1631"/>
      <c r="G40" s="1631"/>
      <c r="H40" s="1631"/>
      <c r="I40" s="1631"/>
      <c r="J40" s="1631"/>
      <c r="K40" s="1631"/>
      <c r="L40" s="1632"/>
      <c r="M40" s="1630" t="s">
        <v>337</v>
      </c>
      <c r="N40" s="1631"/>
      <c r="O40" s="1631"/>
      <c r="P40" s="1631"/>
      <c r="Q40" s="1631"/>
      <c r="R40" s="1631"/>
      <c r="S40" s="1631"/>
      <c r="T40" s="1632"/>
      <c r="U40" s="799"/>
      <c r="V40" s="799"/>
      <c r="W40" s="799"/>
      <c r="X40" s="799"/>
      <c r="Y40" s="3"/>
      <c r="Z40" s="3"/>
      <c r="AA40" s="3"/>
      <c r="AB40" s="3"/>
    </row>
    <row r="41" spans="1:28" ht="15" customHeight="1" x14ac:dyDescent="0.3">
      <c r="A41" s="3"/>
      <c r="B41" s="3"/>
      <c r="C41" s="3"/>
      <c r="D41" s="3"/>
      <c r="E41" s="1633"/>
      <c r="F41" s="1634"/>
      <c r="G41" s="1634"/>
      <c r="H41" s="1634"/>
      <c r="I41" s="1634"/>
      <c r="J41" s="1634"/>
      <c r="K41" s="1634"/>
      <c r="L41" s="1635"/>
      <c r="M41" s="1633"/>
      <c r="N41" s="1634"/>
      <c r="O41" s="1634"/>
      <c r="P41" s="1634"/>
      <c r="Q41" s="1634"/>
      <c r="R41" s="1634"/>
      <c r="S41" s="1634"/>
      <c r="T41" s="1635"/>
      <c r="U41" s="799"/>
      <c r="V41" s="805" t="s">
        <v>96</v>
      </c>
      <c r="W41" s="799"/>
      <c r="X41" s="805" t="s">
        <v>336</v>
      </c>
      <c r="Y41" s="3"/>
      <c r="Z41" s="3"/>
      <c r="AA41" s="3"/>
      <c r="AB41" s="3"/>
    </row>
    <row r="42" spans="1:28" ht="15" customHeight="1" x14ac:dyDescent="0.3">
      <c r="A42" s="3"/>
      <c r="B42" s="3"/>
      <c r="C42" s="3"/>
      <c r="D42" s="3"/>
      <c r="E42" s="1636" t="s">
        <v>225</v>
      </c>
      <c r="F42" s="1637"/>
      <c r="G42" s="1637"/>
      <c r="H42" s="1637"/>
      <c r="I42" s="1637"/>
      <c r="J42" s="1637"/>
      <c r="K42" s="1637"/>
      <c r="L42" s="1638"/>
      <c r="M42" s="1639">
        <v>2310500</v>
      </c>
      <c r="N42" s="1640"/>
      <c r="O42" s="1640"/>
      <c r="P42" s="1640"/>
      <c r="Q42" s="1640"/>
      <c r="R42" s="1640"/>
      <c r="S42" s="1640"/>
      <c r="T42" s="1641"/>
      <c r="U42" s="799"/>
      <c r="V42" s="799">
        <v>1.1830000000000001</v>
      </c>
      <c r="W42" s="799"/>
      <c r="X42" s="802">
        <f>M42*V42</f>
        <v>2733321.5</v>
      </c>
      <c r="Y42" s="3"/>
      <c r="Z42" s="3"/>
      <c r="AA42" s="3"/>
      <c r="AB42" s="3"/>
    </row>
    <row r="43" spans="1:28" ht="15" customHeight="1" x14ac:dyDescent="0.3">
      <c r="A43" s="3"/>
      <c r="B43" s="3"/>
      <c r="C43" s="3"/>
      <c r="D43" s="3"/>
      <c r="E43" s="1642" t="s">
        <v>226</v>
      </c>
      <c r="F43" s="1642"/>
      <c r="G43" s="1642"/>
      <c r="H43" s="1642"/>
      <c r="I43" s="1642"/>
      <c r="J43" s="1642"/>
      <c r="K43" s="1642"/>
      <c r="L43" s="1642"/>
      <c r="M43" s="1639">
        <v>331400</v>
      </c>
      <c r="N43" s="1640"/>
      <c r="O43" s="1640"/>
      <c r="P43" s="1640"/>
      <c r="Q43" s="1640"/>
      <c r="R43" s="1640"/>
      <c r="S43" s="1640"/>
      <c r="T43" s="1641"/>
      <c r="U43" s="799"/>
      <c r="V43" s="799">
        <v>1.1830000000000001</v>
      </c>
      <c r="W43" s="799"/>
      <c r="X43" s="802">
        <f>M43*V43</f>
        <v>392046.2</v>
      </c>
      <c r="Y43" s="3"/>
      <c r="Z43" s="3"/>
      <c r="AA43" s="3"/>
      <c r="AB43" s="3"/>
    </row>
    <row r="44" spans="1:28" ht="15" customHeight="1" x14ac:dyDescent="0.3">
      <c r="A44" s="3"/>
      <c r="B44" s="3"/>
      <c r="C44" s="3"/>
      <c r="D44" s="3"/>
      <c r="E44" s="1642" t="s">
        <v>227</v>
      </c>
      <c r="F44" s="1642"/>
      <c r="G44" s="1642"/>
      <c r="H44" s="1642"/>
      <c r="I44" s="1642"/>
      <c r="J44" s="1642"/>
      <c r="K44" s="1642"/>
      <c r="L44" s="1642"/>
      <c r="M44" s="1639">
        <v>31100</v>
      </c>
      <c r="N44" s="1640"/>
      <c r="O44" s="1640"/>
      <c r="P44" s="1640"/>
      <c r="Q44" s="1640"/>
      <c r="R44" s="1640"/>
      <c r="S44" s="1640"/>
      <c r="T44" s="1641"/>
      <c r="U44" s="799"/>
      <c r="V44" s="799">
        <v>1.1830000000000001</v>
      </c>
      <c r="W44" s="799"/>
      <c r="X44" s="802">
        <f>M44*V44</f>
        <v>36791.300000000003</v>
      </c>
      <c r="Y44" s="3"/>
      <c r="Z44" s="3"/>
      <c r="AA44" s="3"/>
      <c r="AB44" s="3"/>
    </row>
    <row r="45" spans="1:28" ht="15" customHeight="1" x14ac:dyDescent="0.3">
      <c r="A45" s="3"/>
      <c r="B45" s="3"/>
      <c r="C45" s="3"/>
      <c r="D45" s="3"/>
      <c r="E45" s="1642" t="s">
        <v>228</v>
      </c>
      <c r="F45" s="1642"/>
      <c r="G45" s="1642"/>
      <c r="H45" s="1642"/>
      <c r="I45" s="1642"/>
      <c r="J45" s="1642"/>
      <c r="K45" s="1642"/>
      <c r="L45" s="1642"/>
      <c r="M45" s="1639">
        <v>2500</v>
      </c>
      <c r="N45" s="1640"/>
      <c r="O45" s="1640"/>
      <c r="P45" s="1640"/>
      <c r="Q45" s="1640"/>
      <c r="R45" s="1640"/>
      <c r="S45" s="1640"/>
      <c r="T45" s="1641"/>
      <c r="U45" s="799"/>
      <c r="V45" s="799">
        <v>1.1830000000000001</v>
      </c>
      <c r="W45" s="799"/>
      <c r="X45" s="802">
        <f>M45*V45</f>
        <v>2957.5</v>
      </c>
      <c r="Y45" s="3"/>
      <c r="Z45" s="3"/>
      <c r="AA45" s="3"/>
      <c r="AB45" s="3"/>
    </row>
    <row r="46" spans="1:28" ht="15" customHeight="1" x14ac:dyDescent="0.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 customHeight="1" x14ac:dyDescent="0.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 customHeight="1"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 customHeight="1" x14ac:dyDescent="0.3">
      <c r="A49" s="3"/>
      <c r="B49" s="3"/>
      <c r="C49" s="3"/>
      <c r="D49" s="3"/>
      <c r="E49" s="26" t="s">
        <v>249</v>
      </c>
      <c r="F49" s="256"/>
      <c r="G49" s="3"/>
      <c r="H49" s="3"/>
      <c r="I49" s="3"/>
      <c r="J49" s="3"/>
      <c r="K49" s="3"/>
      <c r="L49" s="3"/>
      <c r="M49" s="3"/>
      <c r="N49" s="3"/>
      <c r="O49" s="3"/>
      <c r="P49" s="3"/>
      <c r="Q49" s="3"/>
      <c r="R49" s="3"/>
      <c r="S49" s="3"/>
      <c r="T49" s="3"/>
      <c r="U49" s="3"/>
      <c r="V49" s="3"/>
      <c r="W49" s="3"/>
      <c r="X49" s="3"/>
      <c r="Y49" s="3"/>
      <c r="Z49" s="3"/>
      <c r="AA49" s="3"/>
      <c r="AB49" s="3"/>
    </row>
    <row r="50" spans="1:28" ht="15" customHeight="1" x14ac:dyDescent="0.3">
      <c r="A50" s="3"/>
      <c r="B50" s="3"/>
      <c r="C50" s="3"/>
      <c r="D50" s="3"/>
      <c r="E50" s="1623" t="s">
        <v>15</v>
      </c>
      <c r="F50" s="1623"/>
      <c r="G50" s="1623"/>
      <c r="H50" s="1623"/>
      <c r="I50" s="1623"/>
      <c r="J50" s="1623"/>
      <c r="K50" s="1623"/>
      <c r="L50" s="1623"/>
      <c r="M50" s="1623" t="s">
        <v>251</v>
      </c>
      <c r="N50" s="1623"/>
      <c r="O50" s="1623"/>
      <c r="P50" s="1623"/>
      <c r="Q50" s="1623"/>
      <c r="R50" s="1623"/>
      <c r="S50" s="1623"/>
      <c r="T50" s="1623"/>
      <c r="U50" s="1623"/>
      <c r="V50" s="1623"/>
      <c r="W50" s="1623"/>
      <c r="X50" s="1623"/>
      <c r="Y50" s="3"/>
      <c r="Z50" s="3"/>
      <c r="AA50" s="3"/>
      <c r="AB50" s="3"/>
    </row>
    <row r="51" spans="1:28" ht="15" customHeight="1" x14ac:dyDescent="0.3">
      <c r="A51" s="3"/>
      <c r="B51" s="3"/>
      <c r="C51" s="3"/>
      <c r="D51" s="3"/>
      <c r="E51" s="1623"/>
      <c r="F51" s="1623"/>
      <c r="G51" s="1623"/>
      <c r="H51" s="1623"/>
      <c r="I51" s="1623"/>
      <c r="J51" s="1623"/>
      <c r="K51" s="1623"/>
      <c r="L51" s="1623"/>
      <c r="M51" s="1624" t="s">
        <v>225</v>
      </c>
      <c r="N51" s="1625"/>
      <c r="O51" s="1625"/>
      <c r="P51" s="1626"/>
      <c r="Q51" s="1624" t="s">
        <v>226</v>
      </c>
      <c r="R51" s="1625"/>
      <c r="S51" s="1625"/>
      <c r="T51" s="1626"/>
      <c r="U51" s="1619" t="s">
        <v>250</v>
      </c>
      <c r="V51" s="1620"/>
      <c r="W51" s="1620"/>
      <c r="X51" s="1621"/>
      <c r="Y51" s="3"/>
      <c r="Z51" s="3"/>
      <c r="AA51" s="3"/>
      <c r="AB51" s="3"/>
    </row>
    <row r="52" spans="1:28" ht="15" customHeight="1" x14ac:dyDescent="0.3">
      <c r="A52" s="3"/>
      <c r="B52" s="3"/>
      <c r="C52" s="3"/>
      <c r="D52" s="3"/>
      <c r="E52" s="1549" t="s">
        <v>28</v>
      </c>
      <c r="F52" s="1549"/>
      <c r="G52" s="1549"/>
      <c r="H52" s="1549"/>
      <c r="I52" s="1549"/>
      <c r="J52" s="1549"/>
      <c r="K52" s="1549"/>
      <c r="L52" s="1549"/>
      <c r="M52" s="1627">
        <v>3.7999999999999999E-2</v>
      </c>
      <c r="N52" s="1628"/>
      <c r="O52" s="1628"/>
      <c r="P52" s="1629"/>
      <c r="Q52" s="1627">
        <v>5.0999999999999997E-2</v>
      </c>
      <c r="R52" s="1628"/>
      <c r="S52" s="1628"/>
      <c r="T52" s="1629"/>
      <c r="U52" s="1619">
        <v>0.91100000000000003</v>
      </c>
      <c r="V52" s="1620"/>
      <c r="W52" s="1620"/>
      <c r="X52" s="1621"/>
      <c r="Y52" s="3"/>
      <c r="Z52" s="3"/>
      <c r="AA52" s="3"/>
      <c r="AB52" s="3"/>
    </row>
    <row r="53" spans="1:28" ht="15" customHeight="1" x14ac:dyDescent="0.3">
      <c r="A53" s="3"/>
      <c r="B53" s="3"/>
      <c r="C53" s="3"/>
      <c r="D53" s="3"/>
      <c r="E53" s="1549" t="s">
        <v>240</v>
      </c>
      <c r="F53" s="1549"/>
      <c r="G53" s="1549"/>
      <c r="H53" s="1549"/>
      <c r="I53" s="1549"/>
      <c r="J53" s="1549"/>
      <c r="K53" s="1549"/>
      <c r="L53" s="1549"/>
      <c r="M53" s="1619" t="s">
        <v>247</v>
      </c>
      <c r="N53" s="1620"/>
      <c r="O53" s="1620"/>
      <c r="P53" s="1620"/>
      <c r="Q53" s="1620"/>
      <c r="R53" s="1621"/>
      <c r="S53" s="1619" t="s">
        <v>248</v>
      </c>
      <c r="T53" s="1620"/>
      <c r="U53" s="1620"/>
      <c r="V53" s="1620"/>
      <c r="W53" s="1620"/>
      <c r="X53" s="1621"/>
      <c r="Y53" s="3"/>
      <c r="Z53" s="3"/>
      <c r="AA53" s="3"/>
      <c r="AB53" s="3"/>
    </row>
    <row r="54" spans="1:28" ht="15" customHeight="1" x14ac:dyDescent="0.3">
      <c r="A54" s="3"/>
      <c r="B54" s="3"/>
      <c r="C54" s="3"/>
      <c r="D54" s="3"/>
      <c r="E54" s="1549" t="s">
        <v>252</v>
      </c>
      <c r="F54" s="1549"/>
      <c r="G54" s="1549"/>
      <c r="H54" s="1549"/>
      <c r="I54" s="1549"/>
      <c r="J54" s="1549"/>
      <c r="K54" s="1549"/>
      <c r="L54" s="1549"/>
      <c r="M54" s="1622" t="s">
        <v>225</v>
      </c>
      <c r="N54" s="1622"/>
      <c r="O54" s="1622" t="s">
        <v>226</v>
      </c>
      <c r="P54" s="1622"/>
      <c r="Q54" s="1622" t="s">
        <v>250</v>
      </c>
      <c r="R54" s="1622"/>
      <c r="S54" s="1622" t="s">
        <v>225</v>
      </c>
      <c r="T54" s="1622"/>
      <c r="U54" s="1622" t="s">
        <v>226</v>
      </c>
      <c r="V54" s="1622"/>
      <c r="W54" s="1622" t="s">
        <v>250</v>
      </c>
      <c r="X54" s="1622"/>
      <c r="Y54" s="3"/>
      <c r="Z54" s="3"/>
      <c r="AA54" s="3"/>
      <c r="AB54" s="3"/>
    </row>
    <row r="55" spans="1:28" ht="15" customHeight="1" x14ac:dyDescent="0.3">
      <c r="A55" s="3"/>
      <c r="B55" s="3"/>
      <c r="C55" s="3"/>
      <c r="D55" s="3"/>
      <c r="E55" s="1549" t="s">
        <v>241</v>
      </c>
      <c r="F55" s="1549"/>
      <c r="G55" s="1549"/>
      <c r="H55" s="1549"/>
      <c r="I55" s="1549"/>
      <c r="J55" s="1549"/>
      <c r="K55" s="1549"/>
      <c r="L55" s="1549"/>
      <c r="M55" s="1617">
        <v>1.4E-2</v>
      </c>
      <c r="N55" s="1618"/>
      <c r="O55" s="1617">
        <v>6.2E-2</v>
      </c>
      <c r="P55" s="1618"/>
      <c r="Q55" s="1617">
        <v>0.92400000000000004</v>
      </c>
      <c r="R55" s="1618"/>
      <c r="S55" s="1617">
        <v>6.2E-2</v>
      </c>
      <c r="T55" s="1618"/>
      <c r="U55" s="1617">
        <v>9.6000000000000002E-2</v>
      </c>
      <c r="V55" s="1618"/>
      <c r="W55" s="1617">
        <v>0.84199999999999997</v>
      </c>
      <c r="X55" s="1618"/>
      <c r="Y55" s="3"/>
      <c r="Z55" s="3"/>
      <c r="AA55" s="3"/>
      <c r="AB55" s="3"/>
    </row>
    <row r="56" spans="1:28" ht="15" customHeight="1" x14ac:dyDescent="0.3">
      <c r="A56" s="3"/>
      <c r="B56" s="3"/>
      <c r="C56" s="3"/>
      <c r="D56" s="3"/>
      <c r="E56" s="1549" t="s">
        <v>242</v>
      </c>
      <c r="F56" s="1549"/>
      <c r="G56" s="1549"/>
      <c r="H56" s="1549"/>
      <c r="I56" s="1549"/>
      <c r="J56" s="1549"/>
      <c r="K56" s="1549"/>
      <c r="L56" s="1549"/>
      <c r="M56" s="1617">
        <v>2.4E-2</v>
      </c>
      <c r="N56" s="1618"/>
      <c r="O56" s="1617">
        <v>5.3999999999999999E-2</v>
      </c>
      <c r="P56" s="1618"/>
      <c r="Q56" s="1617">
        <v>0.92200000000000004</v>
      </c>
      <c r="R56" s="1618"/>
      <c r="S56" s="1617">
        <v>3.5000000000000003E-2</v>
      </c>
      <c r="T56" s="1618"/>
      <c r="U56" s="1617">
        <v>4.9000000000000002E-2</v>
      </c>
      <c r="V56" s="1618"/>
      <c r="W56" s="1617">
        <v>0.91600000000000004</v>
      </c>
      <c r="X56" s="1618"/>
      <c r="Y56" s="3"/>
      <c r="Z56" s="3"/>
      <c r="AA56" s="3"/>
      <c r="AB56" s="3"/>
    </row>
    <row r="57" spans="1:28" ht="15" customHeight="1" x14ac:dyDescent="0.3">
      <c r="A57" s="3"/>
      <c r="B57" s="3"/>
      <c r="C57" s="3"/>
      <c r="D57" s="3"/>
      <c r="E57" s="1549" t="s">
        <v>244</v>
      </c>
      <c r="F57" s="1549"/>
      <c r="G57" s="1549"/>
      <c r="H57" s="1549"/>
      <c r="I57" s="1549"/>
      <c r="J57" s="1549"/>
      <c r="K57" s="1549"/>
      <c r="L57" s="1549"/>
      <c r="M57" s="1617">
        <v>1.4E-2</v>
      </c>
      <c r="N57" s="1618"/>
      <c r="O57" s="1617">
        <v>6.2E-2</v>
      </c>
      <c r="P57" s="1618"/>
      <c r="Q57" s="1617">
        <v>0.92400000000000004</v>
      </c>
      <c r="R57" s="1618"/>
      <c r="S57" s="1617">
        <v>6.2E-2</v>
      </c>
      <c r="T57" s="1618"/>
      <c r="U57" s="1617">
        <v>9.6000000000000002E-2</v>
      </c>
      <c r="V57" s="1618"/>
      <c r="W57" s="1617">
        <v>0.84199999999999997</v>
      </c>
      <c r="X57" s="1618"/>
      <c r="Y57" s="3"/>
      <c r="Z57" s="3"/>
      <c r="AA57" s="3"/>
      <c r="AB57" s="3"/>
    </row>
    <row r="58" spans="1:28" ht="15" customHeight="1" x14ac:dyDescent="0.3">
      <c r="A58" s="3"/>
      <c r="B58" s="3"/>
      <c r="C58" s="3"/>
      <c r="D58" s="3"/>
      <c r="E58" s="1549" t="s">
        <v>243</v>
      </c>
      <c r="F58" s="1549"/>
      <c r="G58" s="1549"/>
      <c r="H58" s="1549"/>
      <c r="I58" s="1549"/>
      <c r="J58" s="1549"/>
      <c r="K58" s="1549"/>
      <c r="L58" s="1549"/>
      <c r="M58" s="1617">
        <v>2.4E-2</v>
      </c>
      <c r="N58" s="1618"/>
      <c r="O58" s="1617">
        <v>5.3999999999999999E-2</v>
      </c>
      <c r="P58" s="1618"/>
      <c r="Q58" s="1617">
        <v>0.92200000000000004</v>
      </c>
      <c r="R58" s="1618"/>
      <c r="S58" s="1617">
        <v>3.5000000000000003E-2</v>
      </c>
      <c r="T58" s="1618"/>
      <c r="U58" s="1617">
        <v>4.9000000000000002E-2</v>
      </c>
      <c r="V58" s="1618"/>
      <c r="W58" s="1617">
        <v>0.91600000000000004</v>
      </c>
      <c r="X58" s="1618"/>
      <c r="Y58" s="3"/>
      <c r="Z58" s="3"/>
      <c r="AA58" s="3"/>
      <c r="AB58" s="3"/>
    </row>
    <row r="59" spans="1:28" ht="15" customHeight="1" x14ac:dyDescent="0.3">
      <c r="A59" s="3"/>
      <c r="B59" s="3"/>
      <c r="C59" s="3"/>
      <c r="D59" s="3"/>
      <c r="E59" s="1549" t="s">
        <v>245</v>
      </c>
      <c r="F59" s="1549"/>
      <c r="G59" s="1549"/>
      <c r="H59" s="1549"/>
      <c r="I59" s="1549"/>
      <c r="J59" s="1549"/>
      <c r="K59" s="1549"/>
      <c r="L59" s="1549"/>
      <c r="M59" s="1617">
        <v>1.4E-2</v>
      </c>
      <c r="N59" s="1618"/>
      <c r="O59" s="1617">
        <v>6.2E-2</v>
      </c>
      <c r="P59" s="1618"/>
      <c r="Q59" s="1617">
        <v>0.92400000000000004</v>
      </c>
      <c r="R59" s="1618"/>
      <c r="S59" s="1617" t="s">
        <v>74</v>
      </c>
      <c r="T59" s="1618"/>
      <c r="U59" s="1617" t="s">
        <v>74</v>
      </c>
      <c r="V59" s="1618"/>
      <c r="W59" s="1617" t="s">
        <v>74</v>
      </c>
      <c r="X59" s="1618"/>
      <c r="Y59" s="3"/>
      <c r="Z59" s="3"/>
      <c r="AA59" s="3"/>
      <c r="AB59" s="3"/>
    </row>
    <row r="60" spans="1:28" ht="15" customHeight="1" x14ac:dyDescent="0.3">
      <c r="A60" s="3"/>
      <c r="B60" s="3"/>
      <c r="C60" s="3"/>
      <c r="D60" s="3"/>
      <c r="E60" s="79"/>
      <c r="F60" s="79"/>
      <c r="G60" s="79"/>
      <c r="H60" s="79"/>
      <c r="I60" s="79"/>
      <c r="J60" s="79"/>
      <c r="K60" s="79"/>
      <c r="L60" s="79"/>
      <c r="M60" s="79"/>
      <c r="N60" s="79"/>
      <c r="O60" s="79"/>
      <c r="P60" s="79"/>
      <c r="Q60" s="79"/>
      <c r="R60" s="79"/>
      <c r="S60" s="79"/>
      <c r="T60" s="79"/>
      <c r="U60" s="79"/>
      <c r="V60" s="79"/>
      <c r="W60" s="79"/>
      <c r="X60" s="79"/>
      <c r="Y60" s="3"/>
      <c r="Z60" s="3"/>
      <c r="AA60" s="3"/>
      <c r="AB60" s="3"/>
    </row>
    <row r="61" spans="1:28" ht="15" customHeight="1" x14ac:dyDescent="0.3">
      <c r="A61" s="3"/>
      <c r="B61" s="3"/>
      <c r="C61" s="3"/>
      <c r="D61" s="3"/>
      <c r="E61" s="799"/>
      <c r="F61" s="799"/>
      <c r="G61" s="799"/>
      <c r="H61" s="799" t="s">
        <v>251</v>
      </c>
      <c r="I61" s="799"/>
      <c r="J61" s="799"/>
      <c r="K61" s="799"/>
      <c r="L61" s="799" t="s">
        <v>338</v>
      </c>
      <c r="M61" s="799"/>
      <c r="N61" s="799"/>
      <c r="O61" s="799"/>
      <c r="P61" s="799"/>
      <c r="Q61" s="799" t="s">
        <v>339</v>
      </c>
      <c r="R61" s="799"/>
      <c r="S61" s="799"/>
      <c r="T61" s="799"/>
      <c r="U61" s="799"/>
      <c r="V61" s="799"/>
      <c r="W61" s="799"/>
      <c r="X61" s="799"/>
      <c r="Y61" s="799"/>
      <c r="Z61" s="799"/>
      <c r="AA61" s="3"/>
      <c r="AB61" s="3"/>
    </row>
    <row r="62" spans="1:28" ht="15" customHeight="1" x14ac:dyDescent="0.3">
      <c r="A62" s="3"/>
      <c r="B62" s="3"/>
      <c r="C62" s="3"/>
      <c r="D62" s="3"/>
      <c r="E62" s="799" t="s">
        <v>28</v>
      </c>
      <c r="F62" s="799"/>
      <c r="G62" s="800"/>
      <c r="H62" s="801">
        <f>M52</f>
        <v>3.7999999999999999E-2</v>
      </c>
      <c r="I62" s="801">
        <f>Q52</f>
        <v>5.0999999999999997E-2</v>
      </c>
      <c r="J62" s="799">
        <f>U52</f>
        <v>0.91100000000000003</v>
      </c>
      <c r="K62" s="799"/>
      <c r="L62" s="802">
        <f>M42</f>
        <v>2310500</v>
      </c>
      <c r="M62" s="802">
        <f>M43</f>
        <v>331400</v>
      </c>
      <c r="N62" s="802">
        <f>M44</f>
        <v>31100</v>
      </c>
      <c r="O62" s="799"/>
      <c r="P62" s="799"/>
      <c r="Q62" s="799">
        <f>H62*L62</f>
        <v>87799</v>
      </c>
      <c r="R62" s="799">
        <f t="shared" ref="R62:S62" si="15">I62*M62</f>
        <v>16901.399999999998</v>
      </c>
      <c r="S62" s="799">
        <f t="shared" si="15"/>
        <v>28332.100000000002</v>
      </c>
      <c r="T62" s="799"/>
      <c r="U62" s="802">
        <f>SUM(Q62:T62)</f>
        <v>133032.5</v>
      </c>
      <c r="V62" s="802"/>
      <c r="W62" s="799"/>
      <c r="X62" s="799">
        <f>V42</f>
        <v>1.1830000000000001</v>
      </c>
      <c r="Y62" s="799"/>
      <c r="Z62" s="802">
        <f>U62*X62</f>
        <v>157377.44750000001</v>
      </c>
      <c r="AA62" s="3"/>
      <c r="AB62" s="3"/>
    </row>
    <row r="63" spans="1:28" ht="15" customHeight="1" x14ac:dyDescent="0.3">
      <c r="A63" s="3"/>
      <c r="B63" s="3"/>
      <c r="C63" s="3"/>
      <c r="D63" s="3"/>
      <c r="E63" s="799"/>
      <c r="F63" s="799"/>
      <c r="G63" s="800"/>
      <c r="H63" s="799"/>
      <c r="I63" s="799"/>
      <c r="J63" s="799"/>
      <c r="K63" s="799"/>
      <c r="L63" s="799"/>
      <c r="M63" s="799"/>
      <c r="N63" s="799"/>
      <c r="O63" s="799"/>
      <c r="P63" s="799"/>
      <c r="Q63" s="799"/>
      <c r="R63" s="799"/>
      <c r="S63" s="799"/>
      <c r="T63" s="799"/>
      <c r="U63" s="802"/>
      <c r="V63" s="802"/>
      <c r="W63" s="799"/>
      <c r="X63" s="799"/>
      <c r="Y63" s="799"/>
      <c r="Z63" s="802"/>
      <c r="AA63" s="3"/>
      <c r="AB63" s="3"/>
    </row>
    <row r="64" spans="1:28" ht="15" customHeight="1" x14ac:dyDescent="0.3">
      <c r="A64" s="3"/>
      <c r="B64" s="3"/>
      <c r="C64" s="3"/>
      <c r="D64" s="3"/>
      <c r="E64" s="799" t="s">
        <v>333</v>
      </c>
      <c r="F64" s="799" t="s">
        <v>287</v>
      </c>
      <c r="G64" s="800"/>
      <c r="H64" s="803">
        <f>M55</f>
        <v>1.4E-2</v>
      </c>
      <c r="I64" s="803">
        <f>O55</f>
        <v>6.2E-2</v>
      </c>
      <c r="J64" s="803">
        <f>Q55</f>
        <v>0.92400000000000004</v>
      </c>
      <c r="K64" s="799"/>
      <c r="L64" s="802">
        <f>L62</f>
        <v>2310500</v>
      </c>
      <c r="M64" s="802">
        <f>M62</f>
        <v>331400</v>
      </c>
      <c r="N64" s="802">
        <f>N62</f>
        <v>31100</v>
      </c>
      <c r="O64" s="799"/>
      <c r="P64" s="799"/>
      <c r="Q64" s="799">
        <f t="shared" ref="Q64:Q68" si="16">H64*L64</f>
        <v>32347</v>
      </c>
      <c r="R64" s="799">
        <f t="shared" ref="R64:R68" si="17">I64*M64</f>
        <v>20546.8</v>
      </c>
      <c r="S64" s="799">
        <f t="shared" ref="S64:S68" si="18">J64*N64</f>
        <v>28736.400000000001</v>
      </c>
      <c r="T64" s="799"/>
      <c r="U64" s="802">
        <f t="shared" ref="U64:U68" si="19">SUM(Q64:T64)</f>
        <v>81630.200000000012</v>
      </c>
      <c r="V64" s="802"/>
      <c r="W64" s="799"/>
      <c r="X64" s="799">
        <f>V42</f>
        <v>1.1830000000000001</v>
      </c>
      <c r="Y64" s="799"/>
      <c r="Z64" s="802">
        <f t="shared" ref="Z64:Z68" si="20">U64*X64</f>
        <v>96568.526600000012</v>
      </c>
      <c r="AA64" s="3"/>
      <c r="AB64" s="3"/>
    </row>
    <row r="65" spans="1:28" ht="15" customHeight="1" x14ac:dyDescent="0.3">
      <c r="A65" s="3"/>
      <c r="B65" s="3"/>
      <c r="C65" s="3"/>
      <c r="D65" s="3"/>
      <c r="E65" s="799" t="s">
        <v>99</v>
      </c>
      <c r="F65" s="799" t="s">
        <v>287</v>
      </c>
      <c r="G65" s="800"/>
      <c r="H65" s="803">
        <f>M56</f>
        <v>2.4E-2</v>
      </c>
      <c r="I65" s="803">
        <f>O56</f>
        <v>5.3999999999999999E-2</v>
      </c>
      <c r="J65" s="803">
        <f>Q56</f>
        <v>0.92200000000000004</v>
      </c>
      <c r="K65" s="799"/>
      <c r="L65" s="802">
        <f>L62</f>
        <v>2310500</v>
      </c>
      <c r="M65" s="802">
        <f t="shared" ref="M65:N65" si="21">M62</f>
        <v>331400</v>
      </c>
      <c r="N65" s="802">
        <f t="shared" si="21"/>
        <v>31100</v>
      </c>
      <c r="O65" s="799"/>
      <c r="P65" s="799"/>
      <c r="Q65" s="799">
        <f t="shared" si="16"/>
        <v>55452</v>
      </c>
      <c r="R65" s="799">
        <f t="shared" si="17"/>
        <v>17895.599999999999</v>
      </c>
      <c r="S65" s="799">
        <f t="shared" si="18"/>
        <v>28674.2</v>
      </c>
      <c r="T65" s="799"/>
      <c r="U65" s="802">
        <f t="shared" si="19"/>
        <v>102021.8</v>
      </c>
      <c r="V65" s="802"/>
      <c r="W65" s="799"/>
      <c r="X65" s="799">
        <f>V42</f>
        <v>1.1830000000000001</v>
      </c>
      <c r="Y65" s="799"/>
      <c r="Z65" s="802">
        <f t="shared" si="20"/>
        <v>120691.78940000001</v>
      </c>
      <c r="AA65" s="3"/>
      <c r="AB65" s="3"/>
    </row>
    <row r="66" spans="1:28" ht="15" customHeight="1" x14ac:dyDescent="0.3">
      <c r="A66" s="3"/>
      <c r="B66" s="3"/>
      <c r="C66" s="3"/>
      <c r="D66" s="3"/>
      <c r="E66" s="799"/>
      <c r="F66" s="799"/>
      <c r="G66" s="800"/>
      <c r="H66" s="799"/>
      <c r="I66" s="799"/>
      <c r="J66" s="799"/>
      <c r="K66" s="799"/>
      <c r="L66" s="802"/>
      <c r="M66" s="802"/>
      <c r="N66" s="802"/>
      <c r="O66" s="799"/>
      <c r="P66" s="799"/>
      <c r="Q66" s="799"/>
      <c r="R66" s="799"/>
      <c r="S66" s="799"/>
      <c r="T66" s="799"/>
      <c r="U66" s="802"/>
      <c r="V66" s="802"/>
      <c r="W66" s="799"/>
      <c r="X66" s="799"/>
      <c r="Y66" s="799"/>
      <c r="Z66" s="802"/>
      <c r="AA66" s="3"/>
      <c r="AB66" s="3"/>
    </row>
    <row r="67" spans="1:28" ht="15" customHeight="1" x14ac:dyDescent="0.3">
      <c r="A67" s="3"/>
      <c r="B67" s="3"/>
      <c r="C67" s="3"/>
      <c r="D67" s="3"/>
      <c r="E67" s="799" t="s">
        <v>333</v>
      </c>
      <c r="F67" s="799" t="s">
        <v>285</v>
      </c>
      <c r="G67" s="800"/>
      <c r="H67" s="803">
        <f>S55</f>
        <v>6.2E-2</v>
      </c>
      <c r="I67" s="803">
        <f>U55</f>
        <v>9.6000000000000002E-2</v>
      </c>
      <c r="J67" s="803">
        <f>W55</f>
        <v>0.84199999999999997</v>
      </c>
      <c r="K67" s="799"/>
      <c r="L67" s="802">
        <f>L62</f>
        <v>2310500</v>
      </c>
      <c r="M67" s="802">
        <f t="shared" ref="M67:N67" si="22">M62</f>
        <v>331400</v>
      </c>
      <c r="N67" s="802">
        <f t="shared" si="22"/>
        <v>31100</v>
      </c>
      <c r="O67" s="799"/>
      <c r="P67" s="799"/>
      <c r="Q67" s="799">
        <f t="shared" si="16"/>
        <v>143251</v>
      </c>
      <c r="R67" s="799">
        <f t="shared" si="17"/>
        <v>31814.400000000001</v>
      </c>
      <c r="S67" s="799">
        <f t="shared" si="18"/>
        <v>26186.2</v>
      </c>
      <c r="T67" s="799"/>
      <c r="U67" s="802">
        <f t="shared" si="19"/>
        <v>201251.6</v>
      </c>
      <c r="V67" s="802"/>
      <c r="W67" s="799"/>
      <c r="X67" s="799">
        <f>V42</f>
        <v>1.1830000000000001</v>
      </c>
      <c r="Y67" s="799"/>
      <c r="Z67" s="802">
        <f t="shared" si="20"/>
        <v>238080.64280000003</v>
      </c>
      <c r="AA67" s="3"/>
      <c r="AB67" s="3"/>
    </row>
    <row r="68" spans="1:28" ht="15" customHeight="1" x14ac:dyDescent="0.3">
      <c r="A68" s="3"/>
      <c r="B68" s="3"/>
      <c r="C68" s="3"/>
      <c r="D68" s="3"/>
      <c r="E68" s="799" t="s">
        <v>334</v>
      </c>
      <c r="F68" s="799" t="s">
        <v>285</v>
      </c>
      <c r="G68" s="800"/>
      <c r="H68" s="803">
        <f>S56</f>
        <v>3.5000000000000003E-2</v>
      </c>
      <c r="I68" s="803">
        <f>U56</f>
        <v>4.9000000000000002E-2</v>
      </c>
      <c r="J68" s="803">
        <f>W56</f>
        <v>0.91600000000000004</v>
      </c>
      <c r="K68" s="799"/>
      <c r="L68" s="804">
        <f>L62</f>
        <v>2310500</v>
      </c>
      <c r="M68" s="804">
        <f t="shared" ref="M68:N68" si="23">M62</f>
        <v>331400</v>
      </c>
      <c r="N68" s="804">
        <f t="shared" si="23"/>
        <v>31100</v>
      </c>
      <c r="O68" s="799"/>
      <c r="P68" s="799"/>
      <c r="Q68" s="799">
        <f t="shared" si="16"/>
        <v>80867.500000000015</v>
      </c>
      <c r="R68" s="799">
        <f t="shared" si="17"/>
        <v>16238.6</v>
      </c>
      <c r="S68" s="799">
        <f t="shared" si="18"/>
        <v>28487.600000000002</v>
      </c>
      <c r="T68" s="799"/>
      <c r="U68" s="802">
        <f t="shared" si="19"/>
        <v>125593.70000000003</v>
      </c>
      <c r="V68" s="802"/>
      <c r="W68" s="799"/>
      <c r="X68" s="799">
        <f>V42</f>
        <v>1.1830000000000001</v>
      </c>
      <c r="Y68" s="799"/>
      <c r="Z68" s="802">
        <f t="shared" si="20"/>
        <v>148577.34710000004</v>
      </c>
      <c r="AA68" s="3"/>
      <c r="AB68" s="3"/>
    </row>
    <row r="69" spans="1:28" ht="15"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 customHeight="1" x14ac:dyDescent="0.3">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row>
  </sheetData>
  <mergeCells count="245">
    <mergeCell ref="Z22:AA22"/>
    <mergeCell ref="R9:S9"/>
    <mergeCell ref="T9:U9"/>
    <mergeCell ref="V9:W9"/>
    <mergeCell ref="X9:Y9"/>
    <mergeCell ref="Z10:AA10"/>
    <mergeCell ref="Z11:AA11"/>
    <mergeCell ref="O22:Q22"/>
    <mergeCell ref="R22:S22"/>
    <mergeCell ref="T22:U22"/>
    <mergeCell ref="V22:W22"/>
    <mergeCell ref="X22:Y22"/>
    <mergeCell ref="Z20:AA20"/>
    <mergeCell ref="O21:Q21"/>
    <mergeCell ref="R21:S21"/>
    <mergeCell ref="T21:U21"/>
    <mergeCell ref="V21:W21"/>
    <mergeCell ref="X21:Y21"/>
    <mergeCell ref="Z21:AA21"/>
    <mergeCell ref="O20:Q20"/>
    <mergeCell ref="R20:S20"/>
    <mergeCell ref="T20:U20"/>
    <mergeCell ref="V20:W20"/>
    <mergeCell ref="X20:Y20"/>
    <mergeCell ref="Z18:AA18"/>
    <mergeCell ref="O19:Q19"/>
    <mergeCell ref="R19:S19"/>
    <mergeCell ref="T19:U19"/>
    <mergeCell ref="V19:W19"/>
    <mergeCell ref="X19:Y19"/>
    <mergeCell ref="Z19:AA19"/>
    <mergeCell ref="O18:Q18"/>
    <mergeCell ref="R18:S18"/>
    <mergeCell ref="T18:U18"/>
    <mergeCell ref="V18:W18"/>
    <mergeCell ref="X18:Y18"/>
    <mergeCell ref="Z16:AA16"/>
    <mergeCell ref="O17:Q17"/>
    <mergeCell ref="R17:S17"/>
    <mergeCell ref="T17:U17"/>
    <mergeCell ref="V17:W17"/>
    <mergeCell ref="X17:Y17"/>
    <mergeCell ref="Z17:AA17"/>
    <mergeCell ref="O16:Q16"/>
    <mergeCell ref="R16:S16"/>
    <mergeCell ref="T16:U16"/>
    <mergeCell ref="V16:W16"/>
    <mergeCell ref="X16:Y16"/>
    <mergeCell ref="Z14:AA14"/>
    <mergeCell ref="O15:Q15"/>
    <mergeCell ref="R15:S15"/>
    <mergeCell ref="T15:U15"/>
    <mergeCell ref="V15:W15"/>
    <mergeCell ref="X15:Y15"/>
    <mergeCell ref="Z15:AA15"/>
    <mergeCell ref="O14:Q14"/>
    <mergeCell ref="R14:S14"/>
    <mergeCell ref="T14:U14"/>
    <mergeCell ref="V14:W14"/>
    <mergeCell ref="X14:Y14"/>
    <mergeCell ref="Z12:AA12"/>
    <mergeCell ref="O13:Q13"/>
    <mergeCell ref="R13:S13"/>
    <mergeCell ref="T13:U13"/>
    <mergeCell ref="V13:W13"/>
    <mergeCell ref="X13:Y13"/>
    <mergeCell ref="Z13:AA13"/>
    <mergeCell ref="O12:Q12"/>
    <mergeCell ref="R12:S12"/>
    <mergeCell ref="T12:U12"/>
    <mergeCell ref="V12:W12"/>
    <mergeCell ref="X12:Y12"/>
    <mergeCell ref="O11:Q11"/>
    <mergeCell ref="R11:S11"/>
    <mergeCell ref="T11:U11"/>
    <mergeCell ref="V11:W11"/>
    <mergeCell ref="X11:Y11"/>
    <mergeCell ref="O10:Q10"/>
    <mergeCell ref="R10:S10"/>
    <mergeCell ref="T10:U10"/>
    <mergeCell ref="V10:W10"/>
    <mergeCell ref="X10:Y10"/>
    <mergeCell ref="O5:AA5"/>
    <mergeCell ref="O6:Q8"/>
    <mergeCell ref="R6:U7"/>
    <mergeCell ref="V6:Y7"/>
    <mergeCell ref="Z6:AA8"/>
    <mergeCell ref="R8:S8"/>
    <mergeCell ref="T8:U8"/>
    <mergeCell ref="V8:W8"/>
    <mergeCell ref="X8:Y8"/>
    <mergeCell ref="B6:D8"/>
    <mergeCell ref="E6:H7"/>
    <mergeCell ref="I6:L7"/>
    <mergeCell ref="M6:N8"/>
    <mergeCell ref="M10:N10"/>
    <mergeCell ref="E8:F8"/>
    <mergeCell ref="G8:H8"/>
    <mergeCell ref="I8:J8"/>
    <mergeCell ref="K8:L8"/>
    <mergeCell ref="B10:D10"/>
    <mergeCell ref="E10:F10"/>
    <mergeCell ref="G10:H10"/>
    <mergeCell ref="I10:J10"/>
    <mergeCell ref="K10:L10"/>
    <mergeCell ref="M12:N12"/>
    <mergeCell ref="M11:N11"/>
    <mergeCell ref="B11:D11"/>
    <mergeCell ref="E11:F11"/>
    <mergeCell ref="G11:H11"/>
    <mergeCell ref="I11:J11"/>
    <mergeCell ref="K11:L11"/>
    <mergeCell ref="B12:D12"/>
    <mergeCell ref="E12:F12"/>
    <mergeCell ref="G12:H12"/>
    <mergeCell ref="I12:J12"/>
    <mergeCell ref="K12:L12"/>
    <mergeCell ref="M14:N14"/>
    <mergeCell ref="M13:N13"/>
    <mergeCell ref="B13:D13"/>
    <mergeCell ref="E13:F13"/>
    <mergeCell ref="G13:H13"/>
    <mergeCell ref="I13:J13"/>
    <mergeCell ref="K13:L13"/>
    <mergeCell ref="B14:D14"/>
    <mergeCell ref="E14:F14"/>
    <mergeCell ref="G14:H14"/>
    <mergeCell ref="I14:J14"/>
    <mergeCell ref="K14:L14"/>
    <mergeCell ref="M16:N16"/>
    <mergeCell ref="M15:N15"/>
    <mergeCell ref="B15:D15"/>
    <mergeCell ref="E15:F15"/>
    <mergeCell ref="G15:H15"/>
    <mergeCell ref="I15:J15"/>
    <mergeCell ref="K15:L15"/>
    <mergeCell ref="B16:D16"/>
    <mergeCell ref="E16:F16"/>
    <mergeCell ref="G16:H16"/>
    <mergeCell ref="I16:J16"/>
    <mergeCell ref="K16:L16"/>
    <mergeCell ref="I20:J20"/>
    <mergeCell ref="K20:L20"/>
    <mergeCell ref="M20:N20"/>
    <mergeCell ref="M18:N18"/>
    <mergeCell ref="M17:N17"/>
    <mergeCell ref="B17:D17"/>
    <mergeCell ref="E17:F17"/>
    <mergeCell ref="G17:H17"/>
    <mergeCell ref="I17:J17"/>
    <mergeCell ref="K17:L17"/>
    <mergeCell ref="B18:D18"/>
    <mergeCell ref="E18:F18"/>
    <mergeCell ref="G18:H18"/>
    <mergeCell ref="I18:J18"/>
    <mergeCell ref="K18:L18"/>
    <mergeCell ref="B5:N5"/>
    <mergeCell ref="M3:N3"/>
    <mergeCell ref="C24:J25"/>
    <mergeCell ref="B22:D22"/>
    <mergeCell ref="E22:F22"/>
    <mergeCell ref="G22:H22"/>
    <mergeCell ref="I22:J22"/>
    <mergeCell ref="K22:L22"/>
    <mergeCell ref="M22:N22"/>
    <mergeCell ref="M21:N21"/>
    <mergeCell ref="B21:D21"/>
    <mergeCell ref="E21:F21"/>
    <mergeCell ref="G21:H21"/>
    <mergeCell ref="I21:J21"/>
    <mergeCell ref="K21:L21"/>
    <mergeCell ref="B20:D20"/>
    <mergeCell ref="M19:N19"/>
    <mergeCell ref="B19:D19"/>
    <mergeCell ref="E19:F19"/>
    <mergeCell ref="G19:H19"/>
    <mergeCell ref="I19:J19"/>
    <mergeCell ref="K19:L19"/>
    <mergeCell ref="E20:F20"/>
    <mergeCell ref="G20:H20"/>
    <mergeCell ref="E40:L41"/>
    <mergeCell ref="M40:T41"/>
    <mergeCell ref="E42:L42"/>
    <mergeCell ref="M42:T42"/>
    <mergeCell ref="E43:L43"/>
    <mergeCell ref="M43:T43"/>
    <mergeCell ref="E44:L44"/>
    <mergeCell ref="M44:T44"/>
    <mergeCell ref="E45:L45"/>
    <mergeCell ref="M45:T45"/>
    <mergeCell ref="E50:L51"/>
    <mergeCell ref="M50:X50"/>
    <mergeCell ref="M51:P51"/>
    <mergeCell ref="Q51:T51"/>
    <mergeCell ref="U51:X51"/>
    <mergeCell ref="E52:L52"/>
    <mergeCell ref="M52:P52"/>
    <mergeCell ref="Q52:T52"/>
    <mergeCell ref="U52:X52"/>
    <mergeCell ref="E53:L53"/>
    <mergeCell ref="M53:R53"/>
    <mergeCell ref="S53:X53"/>
    <mergeCell ref="E54:L54"/>
    <mergeCell ref="M54:N54"/>
    <mergeCell ref="O54:P54"/>
    <mergeCell ref="Q54:R54"/>
    <mergeCell ref="S54:T54"/>
    <mergeCell ref="U54:V54"/>
    <mergeCell ref="W54:X54"/>
    <mergeCell ref="O55:P55"/>
    <mergeCell ref="Q55:R55"/>
    <mergeCell ref="S55:T55"/>
    <mergeCell ref="U55:V55"/>
    <mergeCell ref="W55:X55"/>
    <mergeCell ref="E56:L56"/>
    <mergeCell ref="M56:N56"/>
    <mergeCell ref="O56:P56"/>
    <mergeCell ref="Q56:R56"/>
    <mergeCell ref="S56:T56"/>
    <mergeCell ref="U56:V56"/>
    <mergeCell ref="W56:X56"/>
    <mergeCell ref="Z9:AA9"/>
    <mergeCell ref="E59:L59"/>
    <mergeCell ref="M59:N59"/>
    <mergeCell ref="O59:P59"/>
    <mergeCell ref="Q59:R59"/>
    <mergeCell ref="S59:T59"/>
    <mergeCell ref="U59:V59"/>
    <mergeCell ref="W59:X59"/>
    <mergeCell ref="E57:L57"/>
    <mergeCell ref="M57:N57"/>
    <mergeCell ref="O57:P57"/>
    <mergeCell ref="Q57:R57"/>
    <mergeCell ref="S57:T57"/>
    <mergeCell ref="U57:V57"/>
    <mergeCell ref="W57:X57"/>
    <mergeCell ref="E58:L58"/>
    <mergeCell ref="M58:N58"/>
    <mergeCell ref="O58:P58"/>
    <mergeCell ref="Q58:R58"/>
    <mergeCell ref="S58:T58"/>
    <mergeCell ref="U58:V58"/>
    <mergeCell ref="W58:X58"/>
    <mergeCell ref="E55:L55"/>
    <mergeCell ref="M55:N55"/>
  </mergeCells>
  <dataValidations disablePrompts="1" count="4">
    <dataValidation allowBlank="1" showInputMessage="1" showErrorMessage="1" prompt="53.347901" sqref="FV65401 PR65401 ZN65401 AJJ65401 ATF65401 BDB65401 BMX65401 BWT65401 CGP65401 CQL65401 DAH65401 DKD65401 DTZ65401 EDV65401 ENR65401 EXN65401 FHJ65401 FRF65401 GBB65401 GKX65401 GUT65401 HEP65401 HOL65401 HYH65401 IID65401 IRZ65401 JBV65401 JLR65401 JVN65401 KFJ65401 KPF65401 KZB65401 LIX65401 LST65401 MCP65401 MML65401 MWH65401 NGD65401 NPZ65401 NZV65401 OJR65401 OTN65401 PDJ65401 PNF65401 PXB65401 QGX65401 QQT65401 RAP65401 RKL65401 RUH65401 SED65401 SNZ65401 SXV65401 THR65401 TRN65401 UBJ65401 ULF65401 UVB65401 VEX65401 VOT65401 VYP65401 WIL65401 WSH65401 FV130937 PR130937 ZN130937 AJJ130937 ATF130937 BDB130937 BMX130937 BWT130937 CGP130937 CQL130937 DAH130937 DKD130937 DTZ130937 EDV130937 ENR130937 EXN130937 FHJ130937 FRF130937 GBB130937 GKX130937 GUT130937 HEP130937 HOL130937 HYH130937 IID130937 IRZ130937 JBV130937 JLR130937 JVN130937 KFJ130937 KPF130937 KZB130937 LIX130937 LST130937 MCP130937 MML130937 MWH130937 NGD130937 NPZ130937 NZV130937 OJR130937 OTN130937 PDJ130937 PNF130937 PXB130937 QGX130937 QQT130937 RAP130937 RKL130937 RUH130937 SED130937 SNZ130937 SXV130937 THR130937 TRN130937 UBJ130937 ULF130937 UVB130937 VEX130937 VOT130937 VYP130937 WIL130937 WSH130937 FV196473 PR196473 ZN196473 AJJ196473 ATF196473 BDB196473 BMX196473 BWT196473 CGP196473 CQL196473 DAH196473 DKD196473 DTZ196473 EDV196473 ENR196473 EXN196473 FHJ196473 FRF196473 GBB196473 GKX196473 GUT196473 HEP196473 HOL196473 HYH196473 IID196473 IRZ196473 JBV196473 JLR196473 JVN196473 KFJ196473 KPF196473 KZB196473 LIX196473 LST196473 MCP196473 MML196473 MWH196473 NGD196473 NPZ196473 NZV196473 OJR196473 OTN196473 PDJ196473 PNF196473 PXB196473 QGX196473 QQT196473 RAP196473 RKL196473 RUH196473 SED196473 SNZ196473 SXV196473 THR196473 TRN196473 UBJ196473 ULF196473 UVB196473 VEX196473 VOT196473 VYP196473 WIL196473 WSH196473 FV262009 PR262009 ZN262009 AJJ262009 ATF262009 BDB262009 BMX262009 BWT262009 CGP262009 CQL262009 DAH262009 DKD262009 DTZ262009 EDV262009 ENR262009 EXN262009 FHJ262009 FRF262009 GBB262009 GKX262009 GUT262009 HEP262009 HOL262009 HYH262009 IID262009 IRZ262009 JBV262009 JLR262009 JVN262009 KFJ262009 KPF262009 KZB262009 LIX262009 LST262009 MCP262009 MML262009 MWH262009 NGD262009 NPZ262009 NZV262009 OJR262009 OTN262009 PDJ262009 PNF262009 PXB262009 QGX262009 QQT262009 RAP262009 RKL262009 RUH262009 SED262009 SNZ262009 SXV262009 THR262009 TRN262009 UBJ262009 ULF262009 UVB262009 VEX262009 VOT262009 VYP262009 WIL262009 WSH262009 FV327545 PR327545 ZN327545 AJJ327545 ATF327545 BDB327545 BMX327545 BWT327545 CGP327545 CQL327545 DAH327545 DKD327545 DTZ327545 EDV327545 ENR327545 EXN327545 FHJ327545 FRF327545 GBB327545 GKX327545 GUT327545 HEP327545 HOL327545 HYH327545 IID327545 IRZ327545 JBV327545 JLR327545 JVN327545 KFJ327545 KPF327545 KZB327545 LIX327545 LST327545 MCP327545 MML327545 MWH327545 NGD327545 NPZ327545 NZV327545 OJR327545 OTN327545 PDJ327545 PNF327545 PXB327545 QGX327545 QQT327545 RAP327545 RKL327545 RUH327545 SED327545 SNZ327545 SXV327545 THR327545 TRN327545 UBJ327545 ULF327545 UVB327545 VEX327545 VOT327545 VYP327545 WIL327545 WSH327545 FV393081 PR393081 ZN393081 AJJ393081 ATF393081 BDB393081 BMX393081 BWT393081 CGP393081 CQL393081 DAH393081 DKD393081 DTZ393081 EDV393081 ENR393081 EXN393081 FHJ393081 FRF393081 GBB393081 GKX393081 GUT393081 HEP393081 HOL393081 HYH393081 IID393081 IRZ393081 JBV393081 JLR393081 JVN393081 KFJ393081 KPF393081 KZB393081 LIX393081 LST393081 MCP393081 MML393081 MWH393081 NGD393081 NPZ393081 NZV393081 OJR393081 OTN393081 PDJ393081 PNF393081 PXB393081 QGX393081 QQT393081 RAP393081 RKL393081 RUH393081 SED393081 SNZ393081 SXV393081 THR393081 TRN393081 UBJ393081 ULF393081 UVB393081 VEX393081 VOT393081 VYP393081 WIL393081 WSH393081 FV458617 PR458617 ZN458617 AJJ458617 ATF458617 BDB458617 BMX458617 BWT458617 CGP458617 CQL458617 DAH458617 DKD458617 DTZ458617 EDV458617 ENR458617 EXN458617 FHJ458617 FRF458617 GBB458617 GKX458617 GUT458617 HEP458617 HOL458617 HYH458617 IID458617 IRZ458617 JBV458617 JLR458617 JVN458617 KFJ458617 KPF458617 KZB458617 LIX458617 LST458617 MCP458617 MML458617 MWH458617 NGD458617 NPZ458617 NZV458617 OJR458617 OTN458617 PDJ458617 PNF458617 PXB458617 QGX458617 QQT458617 RAP458617 RKL458617 RUH458617 SED458617 SNZ458617 SXV458617 THR458617 TRN458617 UBJ458617 ULF458617 UVB458617 VEX458617 VOT458617 VYP458617 WIL458617 WSH458617 FV524153 PR524153 ZN524153 AJJ524153 ATF524153 BDB524153 BMX524153 BWT524153 CGP524153 CQL524153 DAH524153 DKD524153 DTZ524153 EDV524153 ENR524153 EXN524153 FHJ524153 FRF524153 GBB524153 GKX524153 GUT524153 HEP524153 HOL524153 HYH524153 IID524153 IRZ524153 JBV524153 JLR524153 JVN524153 KFJ524153 KPF524153 KZB524153 LIX524153 LST524153 MCP524153 MML524153 MWH524153 NGD524153 NPZ524153 NZV524153 OJR524153 OTN524153 PDJ524153 PNF524153 PXB524153 QGX524153 QQT524153 RAP524153 RKL524153 RUH524153 SED524153 SNZ524153 SXV524153 THR524153 TRN524153 UBJ524153 ULF524153 UVB524153 VEX524153 VOT524153 VYP524153 WIL524153 WSH524153 FV589689 PR589689 ZN589689 AJJ589689 ATF589689 BDB589689 BMX589689 BWT589689 CGP589689 CQL589689 DAH589689 DKD589689 DTZ589689 EDV589689 ENR589689 EXN589689 FHJ589689 FRF589689 GBB589689 GKX589689 GUT589689 HEP589689 HOL589689 HYH589689 IID589689 IRZ589689 JBV589689 JLR589689 JVN589689 KFJ589689 KPF589689 KZB589689 LIX589689 LST589689 MCP589689 MML589689 MWH589689 NGD589689 NPZ589689 NZV589689 OJR589689 OTN589689 PDJ589689 PNF589689 PXB589689 QGX589689 QQT589689 RAP589689 RKL589689 RUH589689 SED589689 SNZ589689 SXV589689 THR589689 TRN589689 UBJ589689 ULF589689 UVB589689 VEX589689 VOT589689 VYP589689 WIL589689 WSH589689 FV655225 PR655225 ZN655225 AJJ655225 ATF655225 BDB655225 BMX655225 BWT655225 CGP655225 CQL655225 DAH655225 DKD655225 DTZ655225 EDV655225 ENR655225 EXN655225 FHJ655225 FRF655225 GBB655225 GKX655225 GUT655225 HEP655225 HOL655225 HYH655225 IID655225 IRZ655225 JBV655225 JLR655225 JVN655225 KFJ655225 KPF655225 KZB655225 LIX655225 LST655225 MCP655225 MML655225 MWH655225 NGD655225 NPZ655225 NZV655225 OJR655225 OTN655225 PDJ655225 PNF655225 PXB655225 QGX655225 QQT655225 RAP655225 RKL655225 RUH655225 SED655225 SNZ655225 SXV655225 THR655225 TRN655225 UBJ655225 ULF655225 UVB655225 VEX655225 VOT655225 VYP655225 WIL655225 WSH655225 FV720761 PR720761 ZN720761 AJJ720761 ATF720761 BDB720761 BMX720761 BWT720761 CGP720761 CQL720761 DAH720761 DKD720761 DTZ720761 EDV720761 ENR720761 EXN720761 FHJ720761 FRF720761 GBB720761 GKX720761 GUT720761 HEP720761 HOL720761 HYH720761 IID720761 IRZ720761 JBV720761 JLR720761 JVN720761 KFJ720761 KPF720761 KZB720761 LIX720761 LST720761 MCP720761 MML720761 MWH720761 NGD720761 NPZ720761 NZV720761 OJR720761 OTN720761 PDJ720761 PNF720761 PXB720761 QGX720761 QQT720761 RAP720761 RKL720761 RUH720761 SED720761 SNZ720761 SXV720761 THR720761 TRN720761 UBJ720761 ULF720761 UVB720761 VEX720761 VOT720761 VYP720761 WIL720761 WSH720761 FV786297 PR786297 ZN786297 AJJ786297 ATF786297 BDB786297 BMX786297 BWT786297 CGP786297 CQL786297 DAH786297 DKD786297 DTZ786297 EDV786297 ENR786297 EXN786297 FHJ786297 FRF786297 GBB786297 GKX786297 GUT786297 HEP786297 HOL786297 HYH786297 IID786297 IRZ786297 JBV786297 JLR786297 JVN786297 KFJ786297 KPF786297 KZB786297 LIX786297 LST786297 MCP786297 MML786297 MWH786297 NGD786297 NPZ786297 NZV786297 OJR786297 OTN786297 PDJ786297 PNF786297 PXB786297 QGX786297 QQT786297 RAP786297 RKL786297 RUH786297 SED786297 SNZ786297 SXV786297 THR786297 TRN786297 UBJ786297 ULF786297 UVB786297 VEX786297 VOT786297 VYP786297 WIL786297 WSH786297 FV851833 PR851833 ZN851833 AJJ851833 ATF851833 BDB851833 BMX851833 BWT851833 CGP851833 CQL851833 DAH851833 DKD851833 DTZ851833 EDV851833 ENR851833 EXN851833 FHJ851833 FRF851833 GBB851833 GKX851833 GUT851833 HEP851833 HOL851833 HYH851833 IID851833 IRZ851833 JBV851833 JLR851833 JVN851833 KFJ851833 KPF851833 KZB851833 LIX851833 LST851833 MCP851833 MML851833 MWH851833 NGD851833 NPZ851833 NZV851833 OJR851833 OTN851833 PDJ851833 PNF851833 PXB851833 QGX851833 QQT851833 RAP851833 RKL851833 RUH851833 SED851833 SNZ851833 SXV851833 THR851833 TRN851833 UBJ851833 ULF851833 UVB851833 VEX851833 VOT851833 VYP851833 WIL851833 WSH851833 FV917369 PR917369 ZN917369 AJJ917369 ATF917369 BDB917369 BMX917369 BWT917369 CGP917369 CQL917369 DAH917369 DKD917369 DTZ917369 EDV917369 ENR917369 EXN917369 FHJ917369 FRF917369 GBB917369 GKX917369 GUT917369 HEP917369 HOL917369 HYH917369 IID917369 IRZ917369 JBV917369 JLR917369 JVN917369 KFJ917369 KPF917369 KZB917369 LIX917369 LST917369 MCP917369 MML917369 MWH917369 NGD917369 NPZ917369 NZV917369 OJR917369 OTN917369 PDJ917369 PNF917369 PXB917369 QGX917369 QQT917369 RAP917369 RKL917369 RUH917369 SED917369 SNZ917369 SXV917369 THR917369 TRN917369 UBJ917369 ULF917369 UVB917369 VEX917369 VOT917369 VYP917369 WIL917369 WSH917369 FV982905 PR982905 ZN982905 AJJ982905 ATF982905 BDB982905 BMX982905 BWT982905 CGP982905 CQL982905 DAH982905 DKD982905 DTZ982905 EDV982905 ENR982905 EXN982905 FHJ982905 FRF982905 GBB982905 GKX982905 GUT982905 HEP982905 HOL982905 HYH982905 IID982905 IRZ982905 JBV982905 JLR982905 JVN982905 KFJ982905 KPF982905 KZB982905 LIX982905 LST982905 MCP982905 MML982905 MWH982905 NGD982905 NPZ982905 NZV982905 OJR982905 OTN982905 PDJ982905 PNF982905 PXB982905 QGX982905 QQT982905 RAP982905 RKL982905 RUH982905 SED982905 SNZ982905 SXV982905 THR982905 TRN982905 UBJ982905 ULF982905 UVB982905 VEX982905 VOT982905 VYP982905 WIL982905 WSH982905"/>
    <dataValidation allowBlank="1" showInputMessage="1" showErrorMessage="1" prompt="-6.294484" sqref="FX65401 PT65401 ZP65401 AJL65401 ATH65401 BDD65401 BMZ65401 BWV65401 CGR65401 CQN65401 DAJ65401 DKF65401 DUB65401 EDX65401 ENT65401 EXP65401 FHL65401 FRH65401 GBD65401 GKZ65401 GUV65401 HER65401 HON65401 HYJ65401 IIF65401 ISB65401 JBX65401 JLT65401 JVP65401 KFL65401 KPH65401 KZD65401 LIZ65401 LSV65401 MCR65401 MMN65401 MWJ65401 NGF65401 NQB65401 NZX65401 OJT65401 OTP65401 PDL65401 PNH65401 PXD65401 QGZ65401 QQV65401 RAR65401 RKN65401 RUJ65401 SEF65401 SOB65401 SXX65401 THT65401 TRP65401 UBL65401 ULH65401 UVD65401 VEZ65401 VOV65401 VYR65401 WIN65401 WSJ65401 FX130937 PT130937 ZP130937 AJL130937 ATH130937 BDD130937 BMZ130937 BWV130937 CGR130937 CQN130937 DAJ130937 DKF130937 DUB130937 EDX130937 ENT130937 EXP130937 FHL130937 FRH130937 GBD130937 GKZ130937 GUV130937 HER130937 HON130937 HYJ130937 IIF130937 ISB130937 JBX130937 JLT130937 JVP130937 KFL130937 KPH130937 KZD130937 LIZ130937 LSV130937 MCR130937 MMN130937 MWJ130937 NGF130937 NQB130937 NZX130937 OJT130937 OTP130937 PDL130937 PNH130937 PXD130937 QGZ130937 QQV130937 RAR130937 RKN130937 RUJ130937 SEF130937 SOB130937 SXX130937 THT130937 TRP130937 UBL130937 ULH130937 UVD130937 VEZ130937 VOV130937 VYR130937 WIN130937 WSJ130937 FX196473 PT196473 ZP196473 AJL196473 ATH196473 BDD196473 BMZ196473 BWV196473 CGR196473 CQN196473 DAJ196473 DKF196473 DUB196473 EDX196473 ENT196473 EXP196473 FHL196473 FRH196473 GBD196473 GKZ196473 GUV196473 HER196473 HON196473 HYJ196473 IIF196473 ISB196473 JBX196473 JLT196473 JVP196473 KFL196473 KPH196473 KZD196473 LIZ196473 LSV196473 MCR196473 MMN196473 MWJ196473 NGF196473 NQB196473 NZX196473 OJT196473 OTP196473 PDL196473 PNH196473 PXD196473 QGZ196473 QQV196473 RAR196473 RKN196473 RUJ196473 SEF196473 SOB196473 SXX196473 THT196473 TRP196473 UBL196473 ULH196473 UVD196473 VEZ196473 VOV196473 VYR196473 WIN196473 WSJ196473 FX262009 PT262009 ZP262009 AJL262009 ATH262009 BDD262009 BMZ262009 BWV262009 CGR262009 CQN262009 DAJ262009 DKF262009 DUB262009 EDX262009 ENT262009 EXP262009 FHL262009 FRH262009 GBD262009 GKZ262009 GUV262009 HER262009 HON262009 HYJ262009 IIF262009 ISB262009 JBX262009 JLT262009 JVP262009 KFL262009 KPH262009 KZD262009 LIZ262009 LSV262009 MCR262009 MMN262009 MWJ262009 NGF262009 NQB262009 NZX262009 OJT262009 OTP262009 PDL262009 PNH262009 PXD262009 QGZ262009 QQV262009 RAR262009 RKN262009 RUJ262009 SEF262009 SOB262009 SXX262009 THT262009 TRP262009 UBL262009 ULH262009 UVD262009 VEZ262009 VOV262009 VYR262009 WIN262009 WSJ262009 FX327545 PT327545 ZP327545 AJL327545 ATH327545 BDD327545 BMZ327545 BWV327545 CGR327545 CQN327545 DAJ327545 DKF327545 DUB327545 EDX327545 ENT327545 EXP327545 FHL327545 FRH327545 GBD327545 GKZ327545 GUV327545 HER327545 HON327545 HYJ327545 IIF327545 ISB327545 JBX327545 JLT327545 JVP327545 KFL327545 KPH327545 KZD327545 LIZ327545 LSV327545 MCR327545 MMN327545 MWJ327545 NGF327545 NQB327545 NZX327545 OJT327545 OTP327545 PDL327545 PNH327545 PXD327545 QGZ327545 QQV327545 RAR327545 RKN327545 RUJ327545 SEF327545 SOB327545 SXX327545 THT327545 TRP327545 UBL327545 ULH327545 UVD327545 VEZ327545 VOV327545 VYR327545 WIN327545 WSJ327545 FX393081 PT393081 ZP393081 AJL393081 ATH393081 BDD393081 BMZ393081 BWV393081 CGR393081 CQN393081 DAJ393081 DKF393081 DUB393081 EDX393081 ENT393081 EXP393081 FHL393081 FRH393081 GBD393081 GKZ393081 GUV393081 HER393081 HON393081 HYJ393081 IIF393081 ISB393081 JBX393081 JLT393081 JVP393081 KFL393081 KPH393081 KZD393081 LIZ393081 LSV393081 MCR393081 MMN393081 MWJ393081 NGF393081 NQB393081 NZX393081 OJT393081 OTP393081 PDL393081 PNH393081 PXD393081 QGZ393081 QQV393081 RAR393081 RKN393081 RUJ393081 SEF393081 SOB393081 SXX393081 THT393081 TRP393081 UBL393081 ULH393081 UVD393081 VEZ393081 VOV393081 VYR393081 WIN393081 WSJ393081 FX458617 PT458617 ZP458617 AJL458617 ATH458617 BDD458617 BMZ458617 BWV458617 CGR458617 CQN458617 DAJ458617 DKF458617 DUB458617 EDX458617 ENT458617 EXP458617 FHL458617 FRH458617 GBD458617 GKZ458617 GUV458617 HER458617 HON458617 HYJ458617 IIF458617 ISB458617 JBX458617 JLT458617 JVP458617 KFL458617 KPH458617 KZD458617 LIZ458617 LSV458617 MCR458617 MMN458617 MWJ458617 NGF458617 NQB458617 NZX458617 OJT458617 OTP458617 PDL458617 PNH458617 PXD458617 QGZ458617 QQV458617 RAR458617 RKN458617 RUJ458617 SEF458617 SOB458617 SXX458617 THT458617 TRP458617 UBL458617 ULH458617 UVD458617 VEZ458617 VOV458617 VYR458617 WIN458617 WSJ458617 FX524153 PT524153 ZP524153 AJL524153 ATH524153 BDD524153 BMZ524153 BWV524153 CGR524153 CQN524153 DAJ524153 DKF524153 DUB524153 EDX524153 ENT524153 EXP524153 FHL524153 FRH524153 GBD524153 GKZ524153 GUV524153 HER524153 HON524153 HYJ524153 IIF524153 ISB524153 JBX524153 JLT524153 JVP524153 KFL524153 KPH524153 KZD524153 LIZ524153 LSV524153 MCR524153 MMN524153 MWJ524153 NGF524153 NQB524153 NZX524153 OJT524153 OTP524153 PDL524153 PNH524153 PXD524153 QGZ524153 QQV524153 RAR524153 RKN524153 RUJ524153 SEF524153 SOB524153 SXX524153 THT524153 TRP524153 UBL524153 ULH524153 UVD524153 VEZ524153 VOV524153 VYR524153 WIN524153 WSJ524153 FX589689 PT589689 ZP589689 AJL589689 ATH589689 BDD589689 BMZ589689 BWV589689 CGR589689 CQN589689 DAJ589689 DKF589689 DUB589689 EDX589689 ENT589689 EXP589689 FHL589689 FRH589689 GBD589689 GKZ589689 GUV589689 HER589689 HON589689 HYJ589689 IIF589689 ISB589689 JBX589689 JLT589689 JVP589689 KFL589689 KPH589689 KZD589689 LIZ589689 LSV589689 MCR589689 MMN589689 MWJ589689 NGF589689 NQB589689 NZX589689 OJT589689 OTP589689 PDL589689 PNH589689 PXD589689 QGZ589689 QQV589689 RAR589689 RKN589689 RUJ589689 SEF589689 SOB589689 SXX589689 THT589689 TRP589689 UBL589689 ULH589689 UVD589689 VEZ589689 VOV589689 VYR589689 WIN589689 WSJ589689 FX655225 PT655225 ZP655225 AJL655225 ATH655225 BDD655225 BMZ655225 BWV655225 CGR655225 CQN655225 DAJ655225 DKF655225 DUB655225 EDX655225 ENT655225 EXP655225 FHL655225 FRH655225 GBD655225 GKZ655225 GUV655225 HER655225 HON655225 HYJ655225 IIF655225 ISB655225 JBX655225 JLT655225 JVP655225 KFL655225 KPH655225 KZD655225 LIZ655225 LSV655225 MCR655225 MMN655225 MWJ655225 NGF655225 NQB655225 NZX655225 OJT655225 OTP655225 PDL655225 PNH655225 PXD655225 QGZ655225 QQV655225 RAR655225 RKN655225 RUJ655225 SEF655225 SOB655225 SXX655225 THT655225 TRP655225 UBL655225 ULH655225 UVD655225 VEZ655225 VOV655225 VYR655225 WIN655225 WSJ655225 FX720761 PT720761 ZP720761 AJL720761 ATH720761 BDD720761 BMZ720761 BWV720761 CGR720761 CQN720761 DAJ720761 DKF720761 DUB720761 EDX720761 ENT720761 EXP720761 FHL720761 FRH720761 GBD720761 GKZ720761 GUV720761 HER720761 HON720761 HYJ720761 IIF720761 ISB720761 JBX720761 JLT720761 JVP720761 KFL720761 KPH720761 KZD720761 LIZ720761 LSV720761 MCR720761 MMN720761 MWJ720761 NGF720761 NQB720761 NZX720761 OJT720761 OTP720761 PDL720761 PNH720761 PXD720761 QGZ720761 QQV720761 RAR720761 RKN720761 RUJ720761 SEF720761 SOB720761 SXX720761 THT720761 TRP720761 UBL720761 ULH720761 UVD720761 VEZ720761 VOV720761 VYR720761 WIN720761 WSJ720761 FX786297 PT786297 ZP786297 AJL786297 ATH786297 BDD786297 BMZ786297 BWV786297 CGR786297 CQN786297 DAJ786297 DKF786297 DUB786297 EDX786297 ENT786297 EXP786297 FHL786297 FRH786297 GBD786297 GKZ786297 GUV786297 HER786297 HON786297 HYJ786297 IIF786297 ISB786297 JBX786297 JLT786297 JVP786297 KFL786297 KPH786297 KZD786297 LIZ786297 LSV786297 MCR786297 MMN786297 MWJ786297 NGF786297 NQB786297 NZX786297 OJT786297 OTP786297 PDL786297 PNH786297 PXD786297 QGZ786297 QQV786297 RAR786297 RKN786297 RUJ786297 SEF786297 SOB786297 SXX786297 THT786297 TRP786297 UBL786297 ULH786297 UVD786297 VEZ786297 VOV786297 VYR786297 WIN786297 WSJ786297 FX851833 PT851833 ZP851833 AJL851833 ATH851833 BDD851833 BMZ851833 BWV851833 CGR851833 CQN851833 DAJ851833 DKF851833 DUB851833 EDX851833 ENT851833 EXP851833 FHL851833 FRH851833 GBD851833 GKZ851833 GUV851833 HER851833 HON851833 HYJ851833 IIF851833 ISB851833 JBX851833 JLT851833 JVP851833 KFL851833 KPH851833 KZD851833 LIZ851833 LSV851833 MCR851833 MMN851833 MWJ851833 NGF851833 NQB851833 NZX851833 OJT851833 OTP851833 PDL851833 PNH851833 PXD851833 QGZ851833 QQV851833 RAR851833 RKN851833 RUJ851833 SEF851833 SOB851833 SXX851833 THT851833 TRP851833 UBL851833 ULH851833 UVD851833 VEZ851833 VOV851833 VYR851833 WIN851833 WSJ851833 FX917369 PT917369 ZP917369 AJL917369 ATH917369 BDD917369 BMZ917369 BWV917369 CGR917369 CQN917369 DAJ917369 DKF917369 DUB917369 EDX917369 ENT917369 EXP917369 FHL917369 FRH917369 GBD917369 GKZ917369 GUV917369 HER917369 HON917369 HYJ917369 IIF917369 ISB917369 JBX917369 JLT917369 JVP917369 KFL917369 KPH917369 KZD917369 LIZ917369 LSV917369 MCR917369 MMN917369 MWJ917369 NGF917369 NQB917369 NZX917369 OJT917369 OTP917369 PDL917369 PNH917369 PXD917369 QGZ917369 QQV917369 RAR917369 RKN917369 RUJ917369 SEF917369 SOB917369 SXX917369 THT917369 TRP917369 UBL917369 ULH917369 UVD917369 VEZ917369 VOV917369 VYR917369 WIN917369 WSJ917369 FX982905 PT982905 ZP982905 AJL982905 ATH982905 BDD982905 BMZ982905 BWV982905 CGR982905 CQN982905 DAJ982905 DKF982905 DUB982905 EDX982905 ENT982905 EXP982905 FHL982905 FRH982905 GBD982905 GKZ982905 GUV982905 HER982905 HON982905 HYJ982905 IIF982905 ISB982905 JBX982905 JLT982905 JVP982905 KFL982905 KPH982905 KZD982905 LIZ982905 LSV982905 MCR982905 MMN982905 MWJ982905 NGF982905 NQB982905 NZX982905 OJT982905 OTP982905 PDL982905 PNH982905 PXD982905 QGZ982905 QQV982905 RAR982905 RKN982905 RUJ982905 SEF982905 SOB982905 SXX982905 THT982905 TRP982905 UBL982905 ULH982905 UVD982905 VEZ982905 VOV982905 VYR982905 WIN982905 WSJ982905"/>
    <dataValidation allowBlank="1" showInputMessage="1" showErrorMessage="1" prompt="53° 20' 52.4436''" sqref="FV65405 PR65405 ZN65405 AJJ65405 ATF65405 BDB65405 BMX65405 BWT65405 CGP65405 CQL65405 DAH65405 DKD65405 DTZ65405 EDV65405 ENR65405 EXN65405 FHJ65405 FRF65405 GBB65405 GKX65405 GUT65405 HEP65405 HOL65405 HYH65405 IID65405 IRZ65405 JBV65405 JLR65405 JVN65405 KFJ65405 KPF65405 KZB65405 LIX65405 LST65405 MCP65405 MML65405 MWH65405 NGD65405 NPZ65405 NZV65405 OJR65405 OTN65405 PDJ65405 PNF65405 PXB65405 QGX65405 QQT65405 RAP65405 RKL65405 RUH65405 SED65405 SNZ65405 SXV65405 THR65405 TRN65405 UBJ65405 ULF65405 UVB65405 VEX65405 VOT65405 VYP65405 WIL65405 WSH65405 FV130941 PR130941 ZN130941 AJJ130941 ATF130941 BDB130941 BMX130941 BWT130941 CGP130941 CQL130941 DAH130941 DKD130941 DTZ130941 EDV130941 ENR130941 EXN130941 FHJ130941 FRF130941 GBB130941 GKX130941 GUT130941 HEP130941 HOL130941 HYH130941 IID130941 IRZ130941 JBV130941 JLR130941 JVN130941 KFJ130941 KPF130941 KZB130941 LIX130941 LST130941 MCP130941 MML130941 MWH130941 NGD130941 NPZ130941 NZV130941 OJR130941 OTN130941 PDJ130941 PNF130941 PXB130941 QGX130941 QQT130941 RAP130941 RKL130941 RUH130941 SED130941 SNZ130941 SXV130941 THR130941 TRN130941 UBJ130941 ULF130941 UVB130941 VEX130941 VOT130941 VYP130941 WIL130941 WSH130941 FV196477 PR196477 ZN196477 AJJ196477 ATF196477 BDB196477 BMX196477 BWT196477 CGP196477 CQL196477 DAH196477 DKD196477 DTZ196477 EDV196477 ENR196477 EXN196477 FHJ196477 FRF196477 GBB196477 GKX196477 GUT196477 HEP196477 HOL196477 HYH196477 IID196477 IRZ196477 JBV196477 JLR196477 JVN196477 KFJ196477 KPF196477 KZB196477 LIX196477 LST196477 MCP196477 MML196477 MWH196477 NGD196477 NPZ196477 NZV196477 OJR196477 OTN196477 PDJ196477 PNF196477 PXB196477 QGX196477 QQT196477 RAP196477 RKL196477 RUH196477 SED196477 SNZ196477 SXV196477 THR196477 TRN196477 UBJ196477 ULF196477 UVB196477 VEX196477 VOT196477 VYP196477 WIL196477 WSH196477 FV262013 PR262013 ZN262013 AJJ262013 ATF262013 BDB262013 BMX262013 BWT262013 CGP262013 CQL262013 DAH262013 DKD262013 DTZ262013 EDV262013 ENR262013 EXN262013 FHJ262013 FRF262013 GBB262013 GKX262013 GUT262013 HEP262013 HOL262013 HYH262013 IID262013 IRZ262013 JBV262013 JLR262013 JVN262013 KFJ262013 KPF262013 KZB262013 LIX262013 LST262013 MCP262013 MML262013 MWH262013 NGD262013 NPZ262013 NZV262013 OJR262013 OTN262013 PDJ262013 PNF262013 PXB262013 QGX262013 QQT262013 RAP262013 RKL262013 RUH262013 SED262013 SNZ262013 SXV262013 THR262013 TRN262013 UBJ262013 ULF262013 UVB262013 VEX262013 VOT262013 VYP262013 WIL262013 WSH262013 FV327549 PR327549 ZN327549 AJJ327549 ATF327549 BDB327549 BMX327549 BWT327549 CGP327549 CQL327549 DAH327549 DKD327549 DTZ327549 EDV327549 ENR327549 EXN327549 FHJ327549 FRF327549 GBB327549 GKX327549 GUT327549 HEP327549 HOL327549 HYH327549 IID327549 IRZ327549 JBV327549 JLR327549 JVN327549 KFJ327549 KPF327549 KZB327549 LIX327549 LST327549 MCP327549 MML327549 MWH327549 NGD327549 NPZ327549 NZV327549 OJR327549 OTN327549 PDJ327549 PNF327549 PXB327549 QGX327549 QQT327549 RAP327549 RKL327549 RUH327549 SED327549 SNZ327549 SXV327549 THR327549 TRN327549 UBJ327549 ULF327549 UVB327549 VEX327549 VOT327549 VYP327549 WIL327549 WSH327549 FV393085 PR393085 ZN393085 AJJ393085 ATF393085 BDB393085 BMX393085 BWT393085 CGP393085 CQL393085 DAH393085 DKD393085 DTZ393085 EDV393085 ENR393085 EXN393085 FHJ393085 FRF393085 GBB393085 GKX393085 GUT393085 HEP393085 HOL393085 HYH393085 IID393085 IRZ393085 JBV393085 JLR393085 JVN393085 KFJ393085 KPF393085 KZB393085 LIX393085 LST393085 MCP393085 MML393085 MWH393085 NGD393085 NPZ393085 NZV393085 OJR393085 OTN393085 PDJ393085 PNF393085 PXB393085 QGX393085 QQT393085 RAP393085 RKL393085 RUH393085 SED393085 SNZ393085 SXV393085 THR393085 TRN393085 UBJ393085 ULF393085 UVB393085 VEX393085 VOT393085 VYP393085 WIL393085 WSH393085 FV458621 PR458621 ZN458621 AJJ458621 ATF458621 BDB458621 BMX458621 BWT458621 CGP458621 CQL458621 DAH458621 DKD458621 DTZ458621 EDV458621 ENR458621 EXN458621 FHJ458621 FRF458621 GBB458621 GKX458621 GUT458621 HEP458621 HOL458621 HYH458621 IID458621 IRZ458621 JBV458621 JLR458621 JVN458621 KFJ458621 KPF458621 KZB458621 LIX458621 LST458621 MCP458621 MML458621 MWH458621 NGD458621 NPZ458621 NZV458621 OJR458621 OTN458621 PDJ458621 PNF458621 PXB458621 QGX458621 QQT458621 RAP458621 RKL458621 RUH458621 SED458621 SNZ458621 SXV458621 THR458621 TRN458621 UBJ458621 ULF458621 UVB458621 VEX458621 VOT458621 VYP458621 WIL458621 WSH458621 FV524157 PR524157 ZN524157 AJJ524157 ATF524157 BDB524157 BMX524157 BWT524157 CGP524157 CQL524157 DAH524157 DKD524157 DTZ524157 EDV524157 ENR524157 EXN524157 FHJ524157 FRF524157 GBB524157 GKX524157 GUT524157 HEP524157 HOL524157 HYH524157 IID524157 IRZ524157 JBV524157 JLR524157 JVN524157 KFJ524157 KPF524157 KZB524157 LIX524157 LST524157 MCP524157 MML524157 MWH524157 NGD524157 NPZ524157 NZV524157 OJR524157 OTN524157 PDJ524157 PNF524157 PXB524157 QGX524157 QQT524157 RAP524157 RKL524157 RUH524157 SED524157 SNZ524157 SXV524157 THR524157 TRN524157 UBJ524157 ULF524157 UVB524157 VEX524157 VOT524157 VYP524157 WIL524157 WSH524157 FV589693 PR589693 ZN589693 AJJ589693 ATF589693 BDB589693 BMX589693 BWT589693 CGP589693 CQL589693 DAH589693 DKD589693 DTZ589693 EDV589693 ENR589693 EXN589693 FHJ589693 FRF589693 GBB589693 GKX589693 GUT589693 HEP589693 HOL589693 HYH589693 IID589693 IRZ589693 JBV589693 JLR589693 JVN589693 KFJ589693 KPF589693 KZB589693 LIX589693 LST589693 MCP589693 MML589693 MWH589693 NGD589693 NPZ589693 NZV589693 OJR589693 OTN589693 PDJ589693 PNF589693 PXB589693 QGX589693 QQT589693 RAP589693 RKL589693 RUH589693 SED589693 SNZ589693 SXV589693 THR589693 TRN589693 UBJ589693 ULF589693 UVB589693 VEX589693 VOT589693 VYP589693 WIL589693 WSH589693 FV655229 PR655229 ZN655229 AJJ655229 ATF655229 BDB655229 BMX655229 BWT655229 CGP655229 CQL655229 DAH655229 DKD655229 DTZ655229 EDV655229 ENR655229 EXN655229 FHJ655229 FRF655229 GBB655229 GKX655229 GUT655229 HEP655229 HOL655229 HYH655229 IID655229 IRZ655229 JBV655229 JLR655229 JVN655229 KFJ655229 KPF655229 KZB655229 LIX655229 LST655229 MCP655229 MML655229 MWH655229 NGD655229 NPZ655229 NZV655229 OJR655229 OTN655229 PDJ655229 PNF655229 PXB655229 QGX655229 QQT655229 RAP655229 RKL655229 RUH655229 SED655229 SNZ655229 SXV655229 THR655229 TRN655229 UBJ655229 ULF655229 UVB655229 VEX655229 VOT655229 VYP655229 WIL655229 WSH655229 FV720765 PR720765 ZN720765 AJJ720765 ATF720765 BDB720765 BMX720765 BWT720765 CGP720765 CQL720765 DAH720765 DKD720765 DTZ720765 EDV720765 ENR720765 EXN720765 FHJ720765 FRF720765 GBB720765 GKX720765 GUT720765 HEP720765 HOL720765 HYH720765 IID720765 IRZ720765 JBV720765 JLR720765 JVN720765 KFJ720765 KPF720765 KZB720765 LIX720765 LST720765 MCP720765 MML720765 MWH720765 NGD720765 NPZ720765 NZV720765 OJR720765 OTN720765 PDJ720765 PNF720765 PXB720765 QGX720765 QQT720765 RAP720765 RKL720765 RUH720765 SED720765 SNZ720765 SXV720765 THR720765 TRN720765 UBJ720765 ULF720765 UVB720765 VEX720765 VOT720765 VYP720765 WIL720765 WSH720765 FV786301 PR786301 ZN786301 AJJ786301 ATF786301 BDB786301 BMX786301 BWT786301 CGP786301 CQL786301 DAH786301 DKD786301 DTZ786301 EDV786301 ENR786301 EXN786301 FHJ786301 FRF786301 GBB786301 GKX786301 GUT786301 HEP786301 HOL786301 HYH786301 IID786301 IRZ786301 JBV786301 JLR786301 JVN786301 KFJ786301 KPF786301 KZB786301 LIX786301 LST786301 MCP786301 MML786301 MWH786301 NGD786301 NPZ786301 NZV786301 OJR786301 OTN786301 PDJ786301 PNF786301 PXB786301 QGX786301 QQT786301 RAP786301 RKL786301 RUH786301 SED786301 SNZ786301 SXV786301 THR786301 TRN786301 UBJ786301 ULF786301 UVB786301 VEX786301 VOT786301 VYP786301 WIL786301 WSH786301 FV851837 PR851837 ZN851837 AJJ851837 ATF851837 BDB851837 BMX851837 BWT851837 CGP851837 CQL851837 DAH851837 DKD851837 DTZ851837 EDV851837 ENR851837 EXN851837 FHJ851837 FRF851837 GBB851837 GKX851837 GUT851837 HEP851837 HOL851837 HYH851837 IID851837 IRZ851837 JBV851837 JLR851837 JVN851837 KFJ851837 KPF851837 KZB851837 LIX851837 LST851837 MCP851837 MML851837 MWH851837 NGD851837 NPZ851837 NZV851837 OJR851837 OTN851837 PDJ851837 PNF851837 PXB851837 QGX851837 QQT851837 RAP851837 RKL851837 RUH851837 SED851837 SNZ851837 SXV851837 THR851837 TRN851837 UBJ851837 ULF851837 UVB851837 VEX851837 VOT851837 VYP851837 WIL851837 WSH851837 FV917373 PR917373 ZN917373 AJJ917373 ATF917373 BDB917373 BMX917373 BWT917373 CGP917373 CQL917373 DAH917373 DKD917373 DTZ917373 EDV917373 ENR917373 EXN917373 FHJ917373 FRF917373 GBB917373 GKX917373 GUT917373 HEP917373 HOL917373 HYH917373 IID917373 IRZ917373 JBV917373 JLR917373 JVN917373 KFJ917373 KPF917373 KZB917373 LIX917373 LST917373 MCP917373 MML917373 MWH917373 NGD917373 NPZ917373 NZV917373 OJR917373 OTN917373 PDJ917373 PNF917373 PXB917373 QGX917373 QQT917373 RAP917373 RKL917373 RUH917373 SED917373 SNZ917373 SXV917373 THR917373 TRN917373 UBJ917373 ULF917373 UVB917373 VEX917373 VOT917373 VYP917373 WIL917373 WSH917373 FV982909 PR982909 ZN982909 AJJ982909 ATF982909 BDB982909 BMX982909 BWT982909 CGP982909 CQL982909 DAH982909 DKD982909 DTZ982909 EDV982909 ENR982909 EXN982909 FHJ982909 FRF982909 GBB982909 GKX982909 GUT982909 HEP982909 HOL982909 HYH982909 IID982909 IRZ982909 JBV982909 JLR982909 JVN982909 KFJ982909 KPF982909 KZB982909 LIX982909 LST982909 MCP982909 MML982909 MWH982909 NGD982909 NPZ982909 NZV982909 OJR982909 OTN982909 PDJ982909 PNF982909 PXB982909 QGX982909 QQT982909 RAP982909 RKL982909 RUH982909 SED982909 SNZ982909 SXV982909 THR982909 TRN982909 UBJ982909 ULF982909 UVB982909 VEX982909 VOT982909 VYP982909 WIL982909 WSH982909"/>
    <dataValidation allowBlank="1" showInputMessage="1" showErrorMessage="1" prompt="6° 17' 40.1424''" sqref="FX65405 PT65405 ZP65405 AJL65405 ATH65405 BDD65405 BMZ65405 BWV65405 CGR65405 CQN65405 DAJ65405 DKF65405 DUB65405 EDX65405 ENT65405 EXP65405 FHL65405 FRH65405 GBD65405 GKZ65405 GUV65405 HER65405 HON65405 HYJ65405 IIF65405 ISB65405 JBX65405 JLT65405 JVP65405 KFL65405 KPH65405 KZD65405 LIZ65405 LSV65405 MCR65405 MMN65405 MWJ65405 NGF65405 NQB65405 NZX65405 OJT65405 OTP65405 PDL65405 PNH65405 PXD65405 QGZ65405 QQV65405 RAR65405 RKN65405 RUJ65405 SEF65405 SOB65405 SXX65405 THT65405 TRP65405 UBL65405 ULH65405 UVD65405 VEZ65405 VOV65405 VYR65405 WIN65405 WSJ65405 FX130941 PT130941 ZP130941 AJL130941 ATH130941 BDD130941 BMZ130941 BWV130941 CGR130941 CQN130941 DAJ130941 DKF130941 DUB130941 EDX130941 ENT130941 EXP130941 FHL130941 FRH130941 GBD130941 GKZ130941 GUV130941 HER130941 HON130941 HYJ130941 IIF130941 ISB130941 JBX130941 JLT130941 JVP130941 KFL130941 KPH130941 KZD130941 LIZ130941 LSV130941 MCR130941 MMN130941 MWJ130941 NGF130941 NQB130941 NZX130941 OJT130941 OTP130941 PDL130941 PNH130941 PXD130941 QGZ130941 QQV130941 RAR130941 RKN130941 RUJ130941 SEF130941 SOB130941 SXX130941 THT130941 TRP130941 UBL130941 ULH130941 UVD130941 VEZ130941 VOV130941 VYR130941 WIN130941 WSJ130941 FX196477 PT196477 ZP196477 AJL196477 ATH196477 BDD196477 BMZ196477 BWV196477 CGR196477 CQN196477 DAJ196477 DKF196477 DUB196477 EDX196477 ENT196477 EXP196477 FHL196477 FRH196477 GBD196477 GKZ196477 GUV196477 HER196477 HON196477 HYJ196477 IIF196477 ISB196477 JBX196477 JLT196477 JVP196477 KFL196477 KPH196477 KZD196477 LIZ196477 LSV196477 MCR196477 MMN196477 MWJ196477 NGF196477 NQB196477 NZX196477 OJT196477 OTP196477 PDL196477 PNH196477 PXD196477 QGZ196477 QQV196477 RAR196477 RKN196477 RUJ196477 SEF196477 SOB196477 SXX196477 THT196477 TRP196477 UBL196477 ULH196477 UVD196477 VEZ196477 VOV196477 VYR196477 WIN196477 WSJ196477 FX262013 PT262013 ZP262013 AJL262013 ATH262013 BDD262013 BMZ262013 BWV262013 CGR262013 CQN262013 DAJ262013 DKF262013 DUB262013 EDX262013 ENT262013 EXP262013 FHL262013 FRH262013 GBD262013 GKZ262013 GUV262013 HER262013 HON262013 HYJ262013 IIF262013 ISB262013 JBX262013 JLT262013 JVP262013 KFL262013 KPH262013 KZD262013 LIZ262013 LSV262013 MCR262013 MMN262013 MWJ262013 NGF262013 NQB262013 NZX262013 OJT262013 OTP262013 PDL262013 PNH262013 PXD262013 QGZ262013 QQV262013 RAR262013 RKN262013 RUJ262013 SEF262013 SOB262013 SXX262013 THT262013 TRP262013 UBL262013 ULH262013 UVD262013 VEZ262013 VOV262013 VYR262013 WIN262013 WSJ262013 FX327549 PT327549 ZP327549 AJL327549 ATH327549 BDD327549 BMZ327549 BWV327549 CGR327549 CQN327549 DAJ327549 DKF327549 DUB327549 EDX327549 ENT327549 EXP327549 FHL327549 FRH327549 GBD327549 GKZ327549 GUV327549 HER327549 HON327549 HYJ327549 IIF327549 ISB327549 JBX327549 JLT327549 JVP327549 KFL327549 KPH327549 KZD327549 LIZ327549 LSV327549 MCR327549 MMN327549 MWJ327549 NGF327549 NQB327549 NZX327549 OJT327549 OTP327549 PDL327549 PNH327549 PXD327549 QGZ327549 QQV327549 RAR327549 RKN327549 RUJ327549 SEF327549 SOB327549 SXX327549 THT327549 TRP327549 UBL327549 ULH327549 UVD327549 VEZ327549 VOV327549 VYR327549 WIN327549 WSJ327549 FX393085 PT393085 ZP393085 AJL393085 ATH393085 BDD393085 BMZ393085 BWV393085 CGR393085 CQN393085 DAJ393085 DKF393085 DUB393085 EDX393085 ENT393085 EXP393085 FHL393085 FRH393085 GBD393085 GKZ393085 GUV393085 HER393085 HON393085 HYJ393085 IIF393085 ISB393085 JBX393085 JLT393085 JVP393085 KFL393085 KPH393085 KZD393085 LIZ393085 LSV393085 MCR393085 MMN393085 MWJ393085 NGF393085 NQB393085 NZX393085 OJT393085 OTP393085 PDL393085 PNH393085 PXD393085 QGZ393085 QQV393085 RAR393085 RKN393085 RUJ393085 SEF393085 SOB393085 SXX393085 THT393085 TRP393085 UBL393085 ULH393085 UVD393085 VEZ393085 VOV393085 VYR393085 WIN393085 WSJ393085 FX458621 PT458621 ZP458621 AJL458621 ATH458621 BDD458621 BMZ458621 BWV458621 CGR458621 CQN458621 DAJ458621 DKF458621 DUB458621 EDX458621 ENT458621 EXP458621 FHL458621 FRH458621 GBD458621 GKZ458621 GUV458621 HER458621 HON458621 HYJ458621 IIF458621 ISB458621 JBX458621 JLT458621 JVP458621 KFL458621 KPH458621 KZD458621 LIZ458621 LSV458621 MCR458621 MMN458621 MWJ458621 NGF458621 NQB458621 NZX458621 OJT458621 OTP458621 PDL458621 PNH458621 PXD458621 QGZ458621 QQV458621 RAR458621 RKN458621 RUJ458621 SEF458621 SOB458621 SXX458621 THT458621 TRP458621 UBL458621 ULH458621 UVD458621 VEZ458621 VOV458621 VYR458621 WIN458621 WSJ458621 FX524157 PT524157 ZP524157 AJL524157 ATH524157 BDD524157 BMZ524157 BWV524157 CGR524157 CQN524157 DAJ524157 DKF524157 DUB524157 EDX524157 ENT524157 EXP524157 FHL524157 FRH524157 GBD524157 GKZ524157 GUV524157 HER524157 HON524157 HYJ524157 IIF524157 ISB524157 JBX524157 JLT524157 JVP524157 KFL524157 KPH524157 KZD524157 LIZ524157 LSV524157 MCR524157 MMN524157 MWJ524157 NGF524157 NQB524157 NZX524157 OJT524157 OTP524157 PDL524157 PNH524157 PXD524157 QGZ524157 QQV524157 RAR524157 RKN524157 RUJ524157 SEF524157 SOB524157 SXX524157 THT524157 TRP524157 UBL524157 ULH524157 UVD524157 VEZ524157 VOV524157 VYR524157 WIN524157 WSJ524157 FX589693 PT589693 ZP589693 AJL589693 ATH589693 BDD589693 BMZ589693 BWV589693 CGR589693 CQN589693 DAJ589693 DKF589693 DUB589693 EDX589693 ENT589693 EXP589693 FHL589693 FRH589693 GBD589693 GKZ589693 GUV589693 HER589693 HON589693 HYJ589693 IIF589693 ISB589693 JBX589693 JLT589693 JVP589693 KFL589693 KPH589693 KZD589693 LIZ589693 LSV589693 MCR589693 MMN589693 MWJ589693 NGF589693 NQB589693 NZX589693 OJT589693 OTP589693 PDL589693 PNH589693 PXD589693 QGZ589693 QQV589693 RAR589693 RKN589693 RUJ589693 SEF589693 SOB589693 SXX589693 THT589693 TRP589693 UBL589693 ULH589693 UVD589693 VEZ589693 VOV589693 VYR589693 WIN589693 WSJ589693 FX655229 PT655229 ZP655229 AJL655229 ATH655229 BDD655229 BMZ655229 BWV655229 CGR655229 CQN655229 DAJ655229 DKF655229 DUB655229 EDX655229 ENT655229 EXP655229 FHL655229 FRH655229 GBD655229 GKZ655229 GUV655229 HER655229 HON655229 HYJ655229 IIF655229 ISB655229 JBX655229 JLT655229 JVP655229 KFL655229 KPH655229 KZD655229 LIZ655229 LSV655229 MCR655229 MMN655229 MWJ655229 NGF655229 NQB655229 NZX655229 OJT655229 OTP655229 PDL655229 PNH655229 PXD655229 QGZ655229 QQV655229 RAR655229 RKN655229 RUJ655229 SEF655229 SOB655229 SXX655229 THT655229 TRP655229 UBL655229 ULH655229 UVD655229 VEZ655229 VOV655229 VYR655229 WIN655229 WSJ655229 FX720765 PT720765 ZP720765 AJL720765 ATH720765 BDD720765 BMZ720765 BWV720765 CGR720765 CQN720765 DAJ720765 DKF720765 DUB720765 EDX720765 ENT720765 EXP720765 FHL720765 FRH720765 GBD720765 GKZ720765 GUV720765 HER720765 HON720765 HYJ720765 IIF720765 ISB720765 JBX720765 JLT720765 JVP720765 KFL720765 KPH720765 KZD720765 LIZ720765 LSV720765 MCR720765 MMN720765 MWJ720765 NGF720765 NQB720765 NZX720765 OJT720765 OTP720765 PDL720765 PNH720765 PXD720765 QGZ720765 QQV720765 RAR720765 RKN720765 RUJ720765 SEF720765 SOB720765 SXX720765 THT720765 TRP720765 UBL720765 ULH720765 UVD720765 VEZ720765 VOV720765 VYR720765 WIN720765 WSJ720765 FX786301 PT786301 ZP786301 AJL786301 ATH786301 BDD786301 BMZ786301 BWV786301 CGR786301 CQN786301 DAJ786301 DKF786301 DUB786301 EDX786301 ENT786301 EXP786301 FHL786301 FRH786301 GBD786301 GKZ786301 GUV786301 HER786301 HON786301 HYJ786301 IIF786301 ISB786301 JBX786301 JLT786301 JVP786301 KFL786301 KPH786301 KZD786301 LIZ786301 LSV786301 MCR786301 MMN786301 MWJ786301 NGF786301 NQB786301 NZX786301 OJT786301 OTP786301 PDL786301 PNH786301 PXD786301 QGZ786301 QQV786301 RAR786301 RKN786301 RUJ786301 SEF786301 SOB786301 SXX786301 THT786301 TRP786301 UBL786301 ULH786301 UVD786301 VEZ786301 VOV786301 VYR786301 WIN786301 WSJ786301 FX851837 PT851837 ZP851837 AJL851837 ATH851837 BDD851837 BMZ851837 BWV851837 CGR851837 CQN851837 DAJ851837 DKF851837 DUB851837 EDX851837 ENT851837 EXP851837 FHL851837 FRH851837 GBD851837 GKZ851837 GUV851837 HER851837 HON851837 HYJ851837 IIF851837 ISB851837 JBX851837 JLT851837 JVP851837 KFL851837 KPH851837 KZD851837 LIZ851837 LSV851837 MCR851837 MMN851837 MWJ851837 NGF851837 NQB851837 NZX851837 OJT851837 OTP851837 PDL851837 PNH851837 PXD851837 QGZ851837 QQV851837 RAR851837 RKN851837 RUJ851837 SEF851837 SOB851837 SXX851837 THT851837 TRP851837 UBL851837 ULH851837 UVD851837 VEZ851837 VOV851837 VYR851837 WIN851837 WSJ851837 FX917373 PT917373 ZP917373 AJL917373 ATH917373 BDD917373 BMZ917373 BWV917373 CGR917373 CQN917373 DAJ917373 DKF917373 DUB917373 EDX917373 ENT917373 EXP917373 FHL917373 FRH917373 GBD917373 GKZ917373 GUV917373 HER917373 HON917373 HYJ917373 IIF917373 ISB917373 JBX917373 JLT917373 JVP917373 KFL917373 KPH917373 KZD917373 LIZ917373 LSV917373 MCR917373 MMN917373 MWJ917373 NGF917373 NQB917373 NZX917373 OJT917373 OTP917373 PDL917373 PNH917373 PXD917373 QGZ917373 QQV917373 RAR917373 RKN917373 RUJ917373 SEF917373 SOB917373 SXX917373 THT917373 TRP917373 UBL917373 ULH917373 UVD917373 VEZ917373 VOV917373 VYR917373 WIN917373 WSJ917373 FX982909 PT982909 ZP982909 AJL982909 ATH982909 BDD982909 BMZ982909 BWV982909 CGR982909 CQN982909 DAJ982909 DKF982909 DUB982909 EDX982909 ENT982909 EXP982909 FHL982909 FRH982909 GBD982909 GKZ982909 GUV982909 HER982909 HON982909 HYJ982909 IIF982909 ISB982909 JBX982909 JLT982909 JVP982909 KFL982909 KPH982909 KZD982909 LIZ982909 LSV982909 MCR982909 MMN982909 MWJ982909 NGF982909 NQB982909 NZX982909 OJT982909 OTP982909 PDL982909 PNH982909 PXD982909 QGZ982909 QQV982909 RAR982909 RKN982909 RUJ982909 SEF982909 SOB982909 SXX982909 THT982909 TRP982909 UBL982909 ULH982909 UVD982909 VEZ982909 VOV982909 VYR982909 WIN982909 WSJ982909"/>
  </dataValidations>
  <pageMargins left="0.25" right="0.25" top="0.75" bottom="0.75" header="0.3" footer="0.3"/>
  <pageSetup paperSize="9" scale="90"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8"/>
  <sheetViews>
    <sheetView view="pageLayout" topLeftCell="A89" zoomScale="80" zoomScaleNormal="100" zoomScalePageLayoutView="80" workbookViewId="0">
      <selection activeCell="N111" sqref="N111:Q111"/>
    </sheetView>
  </sheetViews>
  <sheetFormatPr defaultRowHeight="15" customHeight="1" x14ac:dyDescent="0.3"/>
  <cols>
    <col min="1" max="1" width="2.6640625" style="2" customWidth="1"/>
    <col min="2" max="15" width="5.33203125" style="2" customWidth="1"/>
    <col min="16" max="16" width="6.109375" style="2" customWidth="1"/>
    <col min="17" max="23" width="5.33203125" style="2" customWidth="1"/>
    <col min="24" max="24" width="6" style="2" customWidth="1"/>
    <col min="25" max="25" width="11.109375" style="2" customWidth="1"/>
    <col min="26" max="26" width="2.6640625" style="2" customWidth="1"/>
    <col min="27" max="273" width="7.6640625" style="2" customWidth="1"/>
    <col min="274" max="274" width="14.33203125" style="2" customWidth="1"/>
    <col min="275" max="275" width="4" style="2" customWidth="1"/>
    <col min="276" max="276" width="14.33203125" style="2" customWidth="1"/>
    <col min="277" max="277" width="4" style="2" customWidth="1"/>
    <col min="278" max="529" width="7.6640625" style="2" customWidth="1"/>
    <col min="530" max="530" width="14.33203125" style="2" customWidth="1"/>
    <col min="531" max="531" width="4" style="2" customWidth="1"/>
    <col min="532" max="532" width="14.33203125" style="2" customWidth="1"/>
    <col min="533" max="533" width="4" style="2" customWidth="1"/>
    <col min="534" max="785" width="7.6640625" style="2" customWidth="1"/>
    <col min="786" max="786" width="14.33203125" style="2" customWidth="1"/>
    <col min="787" max="787" width="4" style="2" customWidth="1"/>
    <col min="788" max="788" width="14.33203125" style="2" customWidth="1"/>
    <col min="789" max="789" width="4" style="2" customWidth="1"/>
    <col min="790" max="1041" width="7.6640625" style="2" customWidth="1"/>
    <col min="1042" max="1042" width="14.33203125" style="2" customWidth="1"/>
    <col min="1043" max="1043" width="4" style="2" customWidth="1"/>
    <col min="1044" max="1044" width="14.33203125" style="2" customWidth="1"/>
    <col min="1045" max="1045" width="4" style="2" customWidth="1"/>
    <col min="1046" max="1297" width="7.6640625" style="2" customWidth="1"/>
    <col min="1298" max="1298" width="14.33203125" style="2" customWidth="1"/>
    <col min="1299" max="1299" width="4" style="2" customWidth="1"/>
    <col min="1300" max="1300" width="14.33203125" style="2" customWidth="1"/>
    <col min="1301" max="1301" width="4" style="2" customWidth="1"/>
    <col min="1302" max="1553" width="7.6640625" style="2" customWidth="1"/>
    <col min="1554" max="1554" width="14.33203125" style="2" customWidth="1"/>
    <col min="1555" max="1555" width="4" style="2" customWidth="1"/>
    <col min="1556" max="1556" width="14.33203125" style="2" customWidth="1"/>
    <col min="1557" max="1557" width="4" style="2" customWidth="1"/>
    <col min="1558" max="1809" width="7.6640625" style="2" customWidth="1"/>
    <col min="1810" max="1810" width="14.33203125" style="2" customWidth="1"/>
    <col min="1811" max="1811" width="4" style="2" customWidth="1"/>
    <col min="1812" max="1812" width="14.33203125" style="2" customWidth="1"/>
    <col min="1813" max="1813" width="4" style="2" customWidth="1"/>
    <col min="1814" max="2065" width="7.6640625" style="2" customWidth="1"/>
    <col min="2066" max="2066" width="14.33203125" style="2" customWidth="1"/>
    <col min="2067" max="2067" width="4" style="2" customWidth="1"/>
    <col min="2068" max="2068" width="14.33203125" style="2" customWidth="1"/>
    <col min="2069" max="2069" width="4" style="2" customWidth="1"/>
    <col min="2070" max="2321" width="7.6640625" style="2" customWidth="1"/>
    <col min="2322" max="2322" width="14.33203125" style="2" customWidth="1"/>
    <col min="2323" max="2323" width="4" style="2" customWidth="1"/>
    <col min="2324" max="2324" width="14.33203125" style="2" customWidth="1"/>
    <col min="2325" max="2325" width="4" style="2" customWidth="1"/>
    <col min="2326" max="2577" width="7.6640625" style="2" customWidth="1"/>
    <col min="2578" max="2578" width="14.33203125" style="2" customWidth="1"/>
    <col min="2579" max="2579" width="4" style="2" customWidth="1"/>
    <col min="2580" max="2580" width="14.33203125" style="2" customWidth="1"/>
    <col min="2581" max="2581" width="4" style="2" customWidth="1"/>
    <col min="2582" max="2833" width="7.6640625" style="2" customWidth="1"/>
    <col min="2834" max="2834" width="14.33203125" style="2" customWidth="1"/>
    <col min="2835" max="2835" width="4" style="2" customWidth="1"/>
    <col min="2836" max="2836" width="14.33203125" style="2" customWidth="1"/>
    <col min="2837" max="2837" width="4" style="2" customWidth="1"/>
    <col min="2838" max="3089" width="7.6640625" style="2" customWidth="1"/>
    <col min="3090" max="3090" width="14.33203125" style="2" customWidth="1"/>
    <col min="3091" max="3091" width="4" style="2" customWidth="1"/>
    <col min="3092" max="3092" width="14.33203125" style="2" customWidth="1"/>
    <col min="3093" max="3093" width="4" style="2" customWidth="1"/>
    <col min="3094" max="3345" width="7.6640625" style="2" customWidth="1"/>
    <col min="3346" max="3346" width="14.33203125" style="2" customWidth="1"/>
    <col min="3347" max="3347" width="4" style="2" customWidth="1"/>
    <col min="3348" max="3348" width="14.33203125" style="2" customWidth="1"/>
    <col min="3349" max="3349" width="4" style="2" customWidth="1"/>
    <col min="3350" max="3601" width="7.6640625" style="2" customWidth="1"/>
    <col min="3602" max="3602" width="14.33203125" style="2" customWidth="1"/>
    <col min="3603" max="3603" width="4" style="2" customWidth="1"/>
    <col min="3604" max="3604" width="14.33203125" style="2" customWidth="1"/>
    <col min="3605" max="3605" width="4" style="2" customWidth="1"/>
    <col min="3606" max="3857" width="7.6640625" style="2" customWidth="1"/>
    <col min="3858" max="3858" width="14.33203125" style="2" customWidth="1"/>
    <col min="3859" max="3859" width="4" style="2" customWidth="1"/>
    <col min="3860" max="3860" width="14.33203125" style="2" customWidth="1"/>
    <col min="3861" max="3861" width="4" style="2" customWidth="1"/>
    <col min="3862" max="4113" width="7.6640625" style="2" customWidth="1"/>
    <col min="4114" max="4114" width="14.33203125" style="2" customWidth="1"/>
    <col min="4115" max="4115" width="4" style="2" customWidth="1"/>
    <col min="4116" max="4116" width="14.33203125" style="2" customWidth="1"/>
    <col min="4117" max="4117" width="4" style="2" customWidth="1"/>
    <col min="4118" max="4369" width="7.6640625" style="2" customWidth="1"/>
    <col min="4370" max="4370" width="14.33203125" style="2" customWidth="1"/>
    <col min="4371" max="4371" width="4" style="2" customWidth="1"/>
    <col min="4372" max="4372" width="14.33203125" style="2" customWidth="1"/>
    <col min="4373" max="4373" width="4" style="2" customWidth="1"/>
    <col min="4374" max="4625" width="7.6640625" style="2" customWidth="1"/>
    <col min="4626" max="4626" width="14.33203125" style="2" customWidth="1"/>
    <col min="4627" max="4627" width="4" style="2" customWidth="1"/>
    <col min="4628" max="4628" width="14.33203125" style="2" customWidth="1"/>
    <col min="4629" max="4629" width="4" style="2" customWidth="1"/>
    <col min="4630" max="4881" width="7.6640625" style="2" customWidth="1"/>
    <col min="4882" max="4882" width="14.33203125" style="2" customWidth="1"/>
    <col min="4883" max="4883" width="4" style="2" customWidth="1"/>
    <col min="4884" max="4884" width="14.33203125" style="2" customWidth="1"/>
    <col min="4885" max="4885" width="4" style="2" customWidth="1"/>
    <col min="4886" max="5137" width="7.6640625" style="2" customWidth="1"/>
    <col min="5138" max="5138" width="14.33203125" style="2" customWidth="1"/>
    <col min="5139" max="5139" width="4" style="2" customWidth="1"/>
    <col min="5140" max="5140" width="14.33203125" style="2" customWidth="1"/>
    <col min="5141" max="5141" width="4" style="2" customWidth="1"/>
    <col min="5142" max="5393" width="7.6640625" style="2" customWidth="1"/>
    <col min="5394" max="5394" width="14.33203125" style="2" customWidth="1"/>
    <col min="5395" max="5395" width="4" style="2" customWidth="1"/>
    <col min="5396" max="5396" width="14.33203125" style="2" customWidth="1"/>
    <col min="5397" max="5397" width="4" style="2" customWidth="1"/>
    <col min="5398" max="5649" width="7.6640625" style="2" customWidth="1"/>
    <col min="5650" max="5650" width="14.33203125" style="2" customWidth="1"/>
    <col min="5651" max="5651" width="4" style="2" customWidth="1"/>
    <col min="5652" max="5652" width="14.33203125" style="2" customWidth="1"/>
    <col min="5653" max="5653" width="4" style="2" customWidth="1"/>
    <col min="5654" max="5905" width="7.6640625" style="2" customWidth="1"/>
    <col min="5906" max="5906" width="14.33203125" style="2" customWidth="1"/>
    <col min="5907" max="5907" width="4" style="2" customWidth="1"/>
    <col min="5908" max="5908" width="14.33203125" style="2" customWidth="1"/>
    <col min="5909" max="5909" width="4" style="2" customWidth="1"/>
    <col min="5910" max="6161" width="7.6640625" style="2" customWidth="1"/>
    <col min="6162" max="6162" width="14.33203125" style="2" customWidth="1"/>
    <col min="6163" max="6163" width="4" style="2" customWidth="1"/>
    <col min="6164" max="6164" width="14.33203125" style="2" customWidth="1"/>
    <col min="6165" max="6165" width="4" style="2" customWidth="1"/>
    <col min="6166" max="6417" width="7.6640625" style="2" customWidth="1"/>
    <col min="6418" max="6418" width="14.33203125" style="2" customWidth="1"/>
    <col min="6419" max="6419" width="4" style="2" customWidth="1"/>
    <col min="6420" max="6420" width="14.33203125" style="2" customWidth="1"/>
    <col min="6421" max="6421" width="4" style="2" customWidth="1"/>
    <col min="6422" max="6673" width="7.6640625" style="2" customWidth="1"/>
    <col min="6674" max="6674" width="14.33203125" style="2" customWidth="1"/>
    <col min="6675" max="6675" width="4" style="2" customWidth="1"/>
    <col min="6676" max="6676" width="14.33203125" style="2" customWidth="1"/>
    <col min="6677" max="6677" width="4" style="2" customWidth="1"/>
    <col min="6678" max="6929" width="7.6640625" style="2" customWidth="1"/>
    <col min="6930" max="6930" width="14.33203125" style="2" customWidth="1"/>
    <col min="6931" max="6931" width="4" style="2" customWidth="1"/>
    <col min="6932" max="6932" width="14.33203125" style="2" customWidth="1"/>
    <col min="6933" max="6933" width="4" style="2" customWidth="1"/>
    <col min="6934" max="7185" width="7.6640625" style="2" customWidth="1"/>
    <col min="7186" max="7186" width="14.33203125" style="2" customWidth="1"/>
    <col min="7187" max="7187" width="4" style="2" customWidth="1"/>
    <col min="7188" max="7188" width="14.33203125" style="2" customWidth="1"/>
    <col min="7189" max="7189" width="4" style="2" customWidth="1"/>
    <col min="7190" max="7441" width="7.6640625" style="2" customWidth="1"/>
    <col min="7442" max="7442" width="14.33203125" style="2" customWidth="1"/>
    <col min="7443" max="7443" width="4" style="2" customWidth="1"/>
    <col min="7444" max="7444" width="14.33203125" style="2" customWidth="1"/>
    <col min="7445" max="7445" width="4" style="2" customWidth="1"/>
    <col min="7446" max="7697" width="7.6640625" style="2" customWidth="1"/>
    <col min="7698" max="7698" width="14.33203125" style="2" customWidth="1"/>
    <col min="7699" max="7699" width="4" style="2" customWidth="1"/>
    <col min="7700" max="7700" width="14.33203125" style="2" customWidth="1"/>
    <col min="7701" max="7701" width="4" style="2" customWidth="1"/>
    <col min="7702" max="7953" width="7.6640625" style="2" customWidth="1"/>
    <col min="7954" max="7954" width="14.33203125" style="2" customWidth="1"/>
    <col min="7955" max="7955" width="4" style="2" customWidth="1"/>
    <col min="7956" max="7956" width="14.33203125" style="2" customWidth="1"/>
    <col min="7957" max="7957" width="4" style="2" customWidth="1"/>
    <col min="7958" max="8209" width="7.6640625" style="2" customWidth="1"/>
    <col min="8210" max="8210" width="14.33203125" style="2" customWidth="1"/>
    <col min="8211" max="8211" width="4" style="2" customWidth="1"/>
    <col min="8212" max="8212" width="14.33203125" style="2" customWidth="1"/>
    <col min="8213" max="8213" width="4" style="2" customWidth="1"/>
    <col min="8214" max="8465" width="7.6640625" style="2" customWidth="1"/>
    <col min="8466" max="8466" width="14.33203125" style="2" customWidth="1"/>
    <col min="8467" max="8467" width="4" style="2" customWidth="1"/>
    <col min="8468" max="8468" width="14.33203125" style="2" customWidth="1"/>
    <col min="8469" max="8469" width="4" style="2" customWidth="1"/>
    <col min="8470" max="8721" width="7.6640625" style="2" customWidth="1"/>
    <col min="8722" max="8722" width="14.33203125" style="2" customWidth="1"/>
    <col min="8723" max="8723" width="4" style="2" customWidth="1"/>
    <col min="8724" max="8724" width="14.33203125" style="2" customWidth="1"/>
    <col min="8725" max="8725" width="4" style="2" customWidth="1"/>
    <col min="8726" max="8977" width="7.6640625" style="2" customWidth="1"/>
    <col min="8978" max="8978" width="14.33203125" style="2" customWidth="1"/>
    <col min="8979" max="8979" width="4" style="2" customWidth="1"/>
    <col min="8980" max="8980" width="14.33203125" style="2" customWidth="1"/>
    <col min="8981" max="8981" width="4" style="2" customWidth="1"/>
    <col min="8982" max="9233" width="7.6640625" style="2" customWidth="1"/>
    <col min="9234" max="9234" width="14.33203125" style="2" customWidth="1"/>
    <col min="9235" max="9235" width="4" style="2" customWidth="1"/>
    <col min="9236" max="9236" width="14.33203125" style="2" customWidth="1"/>
    <col min="9237" max="9237" width="4" style="2" customWidth="1"/>
    <col min="9238" max="9489" width="7.6640625" style="2" customWidth="1"/>
    <col min="9490" max="9490" width="14.33203125" style="2" customWidth="1"/>
    <col min="9491" max="9491" width="4" style="2" customWidth="1"/>
    <col min="9492" max="9492" width="14.33203125" style="2" customWidth="1"/>
    <col min="9493" max="9493" width="4" style="2" customWidth="1"/>
    <col min="9494" max="9745" width="7.6640625" style="2" customWidth="1"/>
    <col min="9746" max="9746" width="14.33203125" style="2" customWidth="1"/>
    <col min="9747" max="9747" width="4" style="2" customWidth="1"/>
    <col min="9748" max="9748" width="14.33203125" style="2" customWidth="1"/>
    <col min="9749" max="9749" width="4" style="2" customWidth="1"/>
    <col min="9750" max="10001" width="7.6640625" style="2" customWidth="1"/>
    <col min="10002" max="10002" width="14.33203125" style="2" customWidth="1"/>
    <col min="10003" max="10003" width="4" style="2" customWidth="1"/>
    <col min="10004" max="10004" width="14.33203125" style="2" customWidth="1"/>
    <col min="10005" max="10005" width="4" style="2" customWidth="1"/>
    <col min="10006" max="10257" width="7.6640625" style="2" customWidth="1"/>
    <col min="10258" max="10258" width="14.33203125" style="2" customWidth="1"/>
    <col min="10259" max="10259" width="4" style="2" customWidth="1"/>
    <col min="10260" max="10260" width="14.33203125" style="2" customWidth="1"/>
    <col min="10261" max="10261" width="4" style="2" customWidth="1"/>
    <col min="10262" max="10513" width="7.6640625" style="2" customWidth="1"/>
    <col min="10514" max="10514" width="14.33203125" style="2" customWidth="1"/>
    <col min="10515" max="10515" width="4" style="2" customWidth="1"/>
    <col min="10516" max="10516" width="14.33203125" style="2" customWidth="1"/>
    <col min="10517" max="10517" width="4" style="2" customWidth="1"/>
    <col min="10518" max="10769" width="7.6640625" style="2" customWidth="1"/>
    <col min="10770" max="10770" width="14.33203125" style="2" customWidth="1"/>
    <col min="10771" max="10771" width="4" style="2" customWidth="1"/>
    <col min="10772" max="10772" width="14.33203125" style="2" customWidth="1"/>
    <col min="10773" max="10773" width="4" style="2" customWidth="1"/>
    <col min="10774" max="11025" width="7.6640625" style="2" customWidth="1"/>
    <col min="11026" max="11026" width="14.33203125" style="2" customWidth="1"/>
    <col min="11027" max="11027" width="4" style="2" customWidth="1"/>
    <col min="11028" max="11028" width="14.33203125" style="2" customWidth="1"/>
    <col min="11029" max="11029" width="4" style="2" customWidth="1"/>
    <col min="11030" max="11281" width="7.6640625" style="2" customWidth="1"/>
    <col min="11282" max="11282" width="14.33203125" style="2" customWidth="1"/>
    <col min="11283" max="11283" width="4" style="2" customWidth="1"/>
    <col min="11284" max="11284" width="14.33203125" style="2" customWidth="1"/>
    <col min="11285" max="11285" width="4" style="2" customWidth="1"/>
    <col min="11286" max="11537" width="7.6640625" style="2" customWidth="1"/>
    <col min="11538" max="11538" width="14.33203125" style="2" customWidth="1"/>
    <col min="11539" max="11539" width="4" style="2" customWidth="1"/>
    <col min="11540" max="11540" width="14.33203125" style="2" customWidth="1"/>
    <col min="11541" max="11541" width="4" style="2" customWidth="1"/>
    <col min="11542" max="11793" width="7.6640625" style="2" customWidth="1"/>
    <col min="11794" max="11794" width="14.33203125" style="2" customWidth="1"/>
    <col min="11795" max="11795" width="4" style="2" customWidth="1"/>
    <col min="11796" max="11796" width="14.33203125" style="2" customWidth="1"/>
    <col min="11797" max="11797" width="4" style="2" customWidth="1"/>
    <col min="11798" max="12049" width="7.6640625" style="2" customWidth="1"/>
    <col min="12050" max="12050" width="14.33203125" style="2" customWidth="1"/>
    <col min="12051" max="12051" width="4" style="2" customWidth="1"/>
    <col min="12052" max="12052" width="14.33203125" style="2" customWidth="1"/>
    <col min="12053" max="12053" width="4" style="2" customWidth="1"/>
    <col min="12054" max="12305" width="7.6640625" style="2" customWidth="1"/>
    <col min="12306" max="12306" width="14.33203125" style="2" customWidth="1"/>
    <col min="12307" max="12307" width="4" style="2" customWidth="1"/>
    <col min="12308" max="12308" width="14.33203125" style="2" customWidth="1"/>
    <col min="12309" max="12309" width="4" style="2" customWidth="1"/>
    <col min="12310" max="12561" width="7.6640625" style="2" customWidth="1"/>
    <col min="12562" max="12562" width="14.33203125" style="2" customWidth="1"/>
    <col min="12563" max="12563" width="4" style="2" customWidth="1"/>
    <col min="12564" max="12564" width="14.33203125" style="2" customWidth="1"/>
    <col min="12565" max="12565" width="4" style="2" customWidth="1"/>
    <col min="12566" max="12817" width="7.6640625" style="2" customWidth="1"/>
    <col min="12818" max="12818" width="14.33203125" style="2" customWidth="1"/>
    <col min="12819" max="12819" width="4" style="2" customWidth="1"/>
    <col min="12820" max="12820" width="14.33203125" style="2" customWidth="1"/>
    <col min="12821" max="12821" width="4" style="2" customWidth="1"/>
    <col min="12822" max="13073" width="7.6640625" style="2" customWidth="1"/>
    <col min="13074" max="13074" width="14.33203125" style="2" customWidth="1"/>
    <col min="13075" max="13075" width="4" style="2" customWidth="1"/>
    <col min="13076" max="13076" width="14.33203125" style="2" customWidth="1"/>
    <col min="13077" max="13077" width="4" style="2" customWidth="1"/>
    <col min="13078" max="13329" width="7.6640625" style="2" customWidth="1"/>
    <col min="13330" max="13330" width="14.33203125" style="2" customWidth="1"/>
    <col min="13331" max="13331" width="4" style="2" customWidth="1"/>
    <col min="13332" max="13332" width="14.33203125" style="2" customWidth="1"/>
    <col min="13333" max="13333" width="4" style="2" customWidth="1"/>
    <col min="13334" max="13585" width="7.6640625" style="2" customWidth="1"/>
    <col min="13586" max="13586" width="14.33203125" style="2" customWidth="1"/>
    <col min="13587" max="13587" width="4" style="2" customWidth="1"/>
    <col min="13588" max="13588" width="14.33203125" style="2" customWidth="1"/>
    <col min="13589" max="13589" width="4" style="2" customWidth="1"/>
    <col min="13590" max="13841" width="7.6640625" style="2" customWidth="1"/>
    <col min="13842" max="13842" width="14.33203125" style="2" customWidth="1"/>
    <col min="13843" max="13843" width="4" style="2" customWidth="1"/>
    <col min="13844" max="13844" width="14.33203125" style="2" customWidth="1"/>
    <col min="13845" max="13845" width="4" style="2" customWidth="1"/>
    <col min="13846" max="14097" width="7.6640625" style="2" customWidth="1"/>
    <col min="14098" max="14098" width="14.33203125" style="2" customWidth="1"/>
    <col min="14099" max="14099" width="4" style="2" customWidth="1"/>
    <col min="14100" max="14100" width="14.33203125" style="2" customWidth="1"/>
    <col min="14101" max="14101" width="4" style="2" customWidth="1"/>
    <col min="14102" max="14353" width="7.6640625" style="2" customWidth="1"/>
    <col min="14354" max="14354" width="14.33203125" style="2" customWidth="1"/>
    <col min="14355" max="14355" width="4" style="2" customWidth="1"/>
    <col min="14356" max="14356" width="14.33203125" style="2" customWidth="1"/>
    <col min="14357" max="14357" width="4" style="2" customWidth="1"/>
    <col min="14358" max="14609" width="7.6640625" style="2" customWidth="1"/>
    <col min="14610" max="14610" width="14.33203125" style="2" customWidth="1"/>
    <col min="14611" max="14611" width="4" style="2" customWidth="1"/>
    <col min="14612" max="14612" width="14.33203125" style="2" customWidth="1"/>
    <col min="14613" max="14613" width="4" style="2" customWidth="1"/>
    <col min="14614" max="14865" width="7.6640625" style="2" customWidth="1"/>
    <col min="14866" max="14866" width="14.33203125" style="2" customWidth="1"/>
    <col min="14867" max="14867" width="4" style="2" customWidth="1"/>
    <col min="14868" max="14868" width="14.33203125" style="2" customWidth="1"/>
    <col min="14869" max="14869" width="4" style="2" customWidth="1"/>
    <col min="14870" max="15121" width="7.6640625" style="2" customWidth="1"/>
    <col min="15122" max="15122" width="14.33203125" style="2" customWidth="1"/>
    <col min="15123" max="15123" width="4" style="2" customWidth="1"/>
    <col min="15124" max="15124" width="14.33203125" style="2" customWidth="1"/>
    <col min="15125" max="15125" width="4" style="2" customWidth="1"/>
    <col min="15126" max="15377" width="7.6640625" style="2" customWidth="1"/>
    <col min="15378" max="15378" width="14.33203125" style="2" customWidth="1"/>
    <col min="15379" max="15379" width="4" style="2" customWidth="1"/>
    <col min="15380" max="15380" width="14.33203125" style="2" customWidth="1"/>
    <col min="15381" max="15381" width="4" style="2" customWidth="1"/>
    <col min="15382" max="15633" width="7.6640625" style="2" customWidth="1"/>
    <col min="15634" max="15634" width="14.33203125" style="2" customWidth="1"/>
    <col min="15635" max="15635" width="4" style="2" customWidth="1"/>
    <col min="15636" max="15636" width="14.33203125" style="2" customWidth="1"/>
    <col min="15637" max="15637" width="4" style="2" customWidth="1"/>
    <col min="15638" max="15889" width="7.6640625" style="2" customWidth="1"/>
    <col min="15890" max="15890" width="14.33203125" style="2" customWidth="1"/>
    <col min="15891" max="15891" width="4" style="2" customWidth="1"/>
    <col min="15892" max="15892" width="14.33203125" style="2" customWidth="1"/>
    <col min="15893" max="15893" width="4" style="2" customWidth="1"/>
    <col min="15894" max="16145" width="7.6640625" style="2" customWidth="1"/>
    <col min="16146" max="16146" width="14.33203125" style="2" customWidth="1"/>
    <col min="16147" max="16147" width="4" style="2" customWidth="1"/>
    <col min="16148" max="16148" width="14.33203125" style="2" customWidth="1"/>
    <col min="16149" max="16149" width="4" style="2" customWidth="1"/>
    <col min="16150" max="16384" width="7.6640625" style="2" customWidth="1"/>
  </cols>
  <sheetData>
    <row r="1" spans="1:26" ht="15" customHeight="1" x14ac:dyDescent="0.3">
      <c r="A1" s="85"/>
      <c r="B1" s="86"/>
      <c r="C1" s="86"/>
      <c r="D1" s="86"/>
      <c r="E1" s="86"/>
      <c r="F1" s="1"/>
      <c r="G1" s="1"/>
      <c r="H1" s="1"/>
      <c r="I1" s="1"/>
      <c r="J1" s="1"/>
      <c r="K1" s="1"/>
      <c r="L1" s="1"/>
      <c r="M1" s="1"/>
      <c r="N1" s="1"/>
      <c r="O1" s="1"/>
      <c r="P1" s="1"/>
      <c r="Q1" s="1"/>
      <c r="R1" s="1"/>
      <c r="S1" s="1"/>
      <c r="T1" s="1"/>
      <c r="U1" s="1"/>
      <c r="V1" s="1"/>
      <c r="W1" s="1"/>
      <c r="X1" s="1"/>
      <c r="Y1" s="1"/>
      <c r="Z1" s="1"/>
    </row>
    <row r="2" spans="1:26" ht="15" customHeight="1" x14ac:dyDescent="0.3">
      <c r="A2" s="3"/>
      <c r="B2" s="589" t="s">
        <v>213</v>
      </c>
      <c r="C2" s="10"/>
      <c r="D2" s="10"/>
      <c r="E2" s="10"/>
      <c r="F2" s="3"/>
      <c r="G2" s="3"/>
      <c r="H2" s="3"/>
      <c r="I2" s="3"/>
      <c r="J2" s="3"/>
      <c r="K2" s="3"/>
      <c r="L2" s="17"/>
      <c r="M2" s="3"/>
      <c r="N2" s="3"/>
      <c r="O2" s="3"/>
      <c r="P2" s="3"/>
      <c r="Q2" s="3"/>
      <c r="R2" s="3"/>
      <c r="S2" s="3"/>
      <c r="T2" s="3"/>
      <c r="U2" s="3"/>
      <c r="V2" s="3"/>
      <c r="W2" s="3"/>
      <c r="X2" s="3"/>
      <c r="Y2" s="3"/>
      <c r="Z2" s="3"/>
    </row>
    <row r="3" spans="1:26" ht="15" customHeight="1" x14ac:dyDescent="0.3">
      <c r="A3" s="3"/>
      <c r="B3" s="806" t="s">
        <v>214</v>
      </c>
      <c r="C3" s="3"/>
      <c r="D3" s="3"/>
      <c r="E3" s="3"/>
      <c r="F3" s="3"/>
      <c r="G3" s="3"/>
      <c r="H3" s="3"/>
      <c r="I3" s="3"/>
      <c r="J3" s="3"/>
      <c r="K3" s="3"/>
      <c r="L3" s="3"/>
      <c r="M3" s="3"/>
      <c r="N3" s="3"/>
      <c r="O3" s="3"/>
      <c r="P3" s="3"/>
      <c r="Q3" s="3"/>
      <c r="R3" s="3"/>
      <c r="S3" s="3"/>
      <c r="T3" s="3"/>
      <c r="U3" s="3"/>
      <c r="V3" s="3"/>
      <c r="W3" s="3"/>
      <c r="X3" s="3"/>
      <c r="Y3" s="3"/>
      <c r="Z3" s="3"/>
    </row>
    <row r="4" spans="1:26" ht="15" customHeight="1" x14ac:dyDescent="0.3">
      <c r="A4" s="3"/>
      <c r="B4" s="739" t="str">
        <f>Overview!$B$7</f>
        <v>Grove Park Drive</v>
      </c>
      <c r="C4" s="3"/>
      <c r="D4" s="3"/>
      <c r="E4" s="3"/>
      <c r="F4" s="3"/>
      <c r="G4" s="3"/>
      <c r="H4" s="3"/>
      <c r="I4" s="3"/>
      <c r="J4" s="3"/>
      <c r="K4" s="3"/>
      <c r="L4" s="3"/>
      <c r="M4" s="3"/>
      <c r="N4" s="3"/>
      <c r="O4" s="3"/>
      <c r="P4" s="3"/>
      <c r="Q4" s="3"/>
      <c r="R4" s="3"/>
      <c r="S4" s="3"/>
      <c r="T4" s="3"/>
      <c r="U4" s="3"/>
      <c r="V4" s="3"/>
      <c r="W4" s="3"/>
      <c r="X4" s="3"/>
      <c r="Y4" s="3"/>
      <c r="Z4" s="3"/>
    </row>
    <row r="5" spans="1:26" ht="15" customHeight="1" x14ac:dyDescent="0.3">
      <c r="A5" s="3"/>
      <c r="B5" s="3"/>
      <c r="C5" s="3"/>
      <c r="D5" s="3"/>
      <c r="E5" s="3"/>
      <c r="F5" s="3"/>
      <c r="G5" s="3"/>
      <c r="H5" s="3"/>
      <c r="I5" s="3"/>
      <c r="J5" s="3"/>
      <c r="K5" s="3"/>
      <c r="L5" s="3"/>
      <c r="M5" s="3"/>
      <c r="N5" s="3"/>
      <c r="O5" s="3"/>
      <c r="P5" s="3"/>
      <c r="Q5" s="3"/>
      <c r="R5" s="3"/>
      <c r="S5" s="3"/>
      <c r="T5" s="3"/>
      <c r="U5" s="3"/>
      <c r="V5" s="3"/>
      <c r="W5" s="3"/>
      <c r="X5" s="3"/>
      <c r="Y5" s="3"/>
      <c r="Z5" s="3"/>
    </row>
    <row r="6" spans="1:26" ht="15" customHeight="1" x14ac:dyDescent="0.3">
      <c r="A6" s="3"/>
      <c r="B6" s="26" t="s">
        <v>215</v>
      </c>
      <c r="C6" s="3"/>
      <c r="D6" s="3"/>
      <c r="E6" s="3"/>
      <c r="F6" s="3"/>
      <c r="G6" s="3"/>
      <c r="H6" s="3"/>
      <c r="I6" s="3"/>
      <c r="J6" s="3"/>
      <c r="K6" s="3"/>
      <c r="L6" s="3"/>
      <c r="M6" s="3"/>
      <c r="N6" s="3"/>
      <c r="O6" s="3"/>
      <c r="P6" s="3"/>
      <c r="Q6" s="3"/>
      <c r="R6" s="3"/>
      <c r="S6" s="3"/>
      <c r="T6" s="3"/>
      <c r="U6" s="3"/>
      <c r="V6" s="3"/>
      <c r="W6" s="3"/>
      <c r="X6" s="3"/>
      <c r="Y6" s="3"/>
      <c r="Z6" s="3"/>
    </row>
    <row r="7" spans="1:26" ht="15" customHeight="1" x14ac:dyDescent="0.3">
      <c r="A7" s="3"/>
      <c r="B7" s="1681" t="s">
        <v>216</v>
      </c>
      <c r="C7" s="1681"/>
      <c r="D7" s="1678" t="s">
        <v>217</v>
      </c>
      <c r="E7" s="1678"/>
      <c r="F7" s="1678"/>
      <c r="G7" s="1678"/>
      <c r="H7" s="1678"/>
      <c r="I7" s="1678"/>
      <c r="J7" s="1678" t="s">
        <v>224</v>
      </c>
      <c r="K7" s="1678"/>
      <c r="L7" s="1678"/>
      <c r="M7" s="1678"/>
      <c r="N7" s="1678"/>
      <c r="O7" s="1678"/>
      <c r="P7" s="1679" t="s">
        <v>62</v>
      </c>
      <c r="Q7" s="1679"/>
      <c r="R7" s="3"/>
      <c r="S7" s="3"/>
      <c r="T7" s="3"/>
      <c r="U7" s="3"/>
      <c r="V7" s="3"/>
      <c r="W7" s="3"/>
      <c r="X7" s="3"/>
      <c r="Y7" s="3"/>
      <c r="Z7" s="3"/>
    </row>
    <row r="8" spans="1:26" ht="15" customHeight="1" x14ac:dyDescent="0.3">
      <c r="A8" s="3"/>
      <c r="B8" s="1681"/>
      <c r="C8" s="1681"/>
      <c r="D8" s="1678" t="s">
        <v>218</v>
      </c>
      <c r="E8" s="1678"/>
      <c r="F8" s="1678" t="s">
        <v>219</v>
      </c>
      <c r="G8" s="1678"/>
      <c r="H8" s="1678" t="s">
        <v>220</v>
      </c>
      <c r="I8" s="1678"/>
      <c r="J8" s="1678" t="s">
        <v>221</v>
      </c>
      <c r="K8" s="1678"/>
      <c r="L8" s="1678" t="s">
        <v>222</v>
      </c>
      <c r="M8" s="1678"/>
      <c r="N8" s="1678" t="s">
        <v>223</v>
      </c>
      <c r="O8" s="1678"/>
      <c r="P8" s="1679"/>
      <c r="Q8" s="1679"/>
      <c r="R8" s="3"/>
      <c r="S8" s="3"/>
      <c r="T8" s="3"/>
      <c r="U8" s="3"/>
      <c r="V8" s="3"/>
      <c r="W8" s="3"/>
      <c r="X8" s="3"/>
      <c r="Y8" s="3"/>
      <c r="Z8" s="3"/>
    </row>
    <row r="9" spans="1:26" ht="15" customHeight="1" x14ac:dyDescent="0.3">
      <c r="A9" s="3"/>
      <c r="B9" s="1681"/>
      <c r="C9" s="1681"/>
      <c r="D9" s="1678"/>
      <c r="E9" s="1678"/>
      <c r="F9" s="1678"/>
      <c r="G9" s="1678"/>
      <c r="H9" s="1678"/>
      <c r="I9" s="1678"/>
      <c r="J9" s="1678"/>
      <c r="K9" s="1678"/>
      <c r="L9" s="1678"/>
      <c r="M9" s="1678"/>
      <c r="N9" s="1678"/>
      <c r="O9" s="1678"/>
      <c r="P9" s="1679"/>
      <c r="Q9" s="1679"/>
      <c r="R9" s="3"/>
      <c r="S9" s="3"/>
      <c r="T9" s="3"/>
      <c r="U9" s="3"/>
      <c r="V9" s="3"/>
      <c r="W9" s="3"/>
      <c r="X9" s="3"/>
      <c r="Y9" s="3"/>
      <c r="Z9" s="3"/>
    </row>
    <row r="10" spans="1:26" ht="15" customHeight="1" x14ac:dyDescent="0.3">
      <c r="A10" s="3"/>
      <c r="B10" s="1549" t="s">
        <v>225</v>
      </c>
      <c r="C10" s="1549"/>
      <c r="D10" s="1680">
        <v>701881</v>
      </c>
      <c r="E10" s="1680"/>
      <c r="F10" s="1680">
        <v>1338656</v>
      </c>
      <c r="G10" s="1680"/>
      <c r="H10" s="1680">
        <v>1205</v>
      </c>
      <c r="I10" s="1680"/>
      <c r="J10" s="1680">
        <v>21521</v>
      </c>
      <c r="K10" s="1680"/>
      <c r="L10" s="1680">
        <v>13952</v>
      </c>
      <c r="M10" s="1680"/>
      <c r="N10" s="1680">
        <v>375</v>
      </c>
      <c r="O10" s="1680"/>
      <c r="P10" s="1682">
        <v>2077589</v>
      </c>
      <c r="Q10" s="1682"/>
      <c r="R10" s="3"/>
      <c r="S10" s="3"/>
      <c r="T10" s="3"/>
      <c r="U10" s="3"/>
      <c r="V10" s="3"/>
      <c r="W10" s="3"/>
      <c r="X10" s="3"/>
      <c r="Y10" s="3"/>
      <c r="Z10" s="3"/>
    </row>
    <row r="11" spans="1:26" ht="15" customHeight="1" x14ac:dyDescent="0.3">
      <c r="A11" s="3"/>
      <c r="B11" s="1549" t="s">
        <v>226</v>
      </c>
      <c r="C11" s="1549"/>
      <c r="D11" s="1680">
        <v>27041</v>
      </c>
      <c r="E11" s="1680"/>
      <c r="F11" s="1680">
        <v>186012</v>
      </c>
      <c r="G11" s="1680"/>
      <c r="H11" s="1680">
        <v>16382</v>
      </c>
      <c r="I11" s="1680"/>
      <c r="J11" s="1680">
        <v>2519</v>
      </c>
      <c r="K11" s="1680"/>
      <c r="L11" s="1680">
        <v>6225</v>
      </c>
      <c r="M11" s="1680"/>
      <c r="N11" s="1680">
        <v>233</v>
      </c>
      <c r="O11" s="1680"/>
      <c r="P11" s="1682">
        <v>238412</v>
      </c>
      <c r="Q11" s="1682"/>
      <c r="R11" s="3"/>
      <c r="S11" s="3"/>
      <c r="T11" s="3"/>
      <c r="U11" s="3"/>
      <c r="V11" s="3"/>
      <c r="W11" s="3"/>
      <c r="X11" s="3"/>
      <c r="Y11" s="3"/>
      <c r="Z11" s="3"/>
    </row>
    <row r="12" spans="1:26" ht="15" customHeight="1" x14ac:dyDescent="0.3">
      <c r="A12" s="3"/>
      <c r="B12" s="1549" t="s">
        <v>227</v>
      </c>
      <c r="C12" s="1549"/>
      <c r="D12" s="1680">
        <v>2858</v>
      </c>
      <c r="E12" s="1680"/>
      <c r="F12" s="1680">
        <v>13617</v>
      </c>
      <c r="G12" s="1680"/>
      <c r="H12" s="1680">
        <v>1212</v>
      </c>
      <c r="I12" s="1680"/>
      <c r="J12" s="1680">
        <v>653</v>
      </c>
      <c r="K12" s="1680"/>
      <c r="L12" s="1680">
        <v>3713</v>
      </c>
      <c r="M12" s="1680"/>
      <c r="N12" s="1680">
        <v>142</v>
      </c>
      <c r="O12" s="1680"/>
      <c r="P12" s="1682">
        <v>22053</v>
      </c>
      <c r="Q12" s="1682"/>
      <c r="R12" s="3"/>
      <c r="S12" s="3"/>
      <c r="T12" s="3"/>
      <c r="U12" s="3"/>
      <c r="V12" s="3"/>
      <c r="W12" s="3"/>
      <c r="X12" s="3"/>
      <c r="Y12" s="3"/>
      <c r="Z12" s="3"/>
    </row>
    <row r="13" spans="1:26" ht="15" customHeight="1" x14ac:dyDescent="0.3">
      <c r="A13" s="3"/>
      <c r="B13" s="1549" t="s">
        <v>228</v>
      </c>
      <c r="C13" s="1549"/>
      <c r="D13" s="1680" t="s">
        <v>74</v>
      </c>
      <c r="E13" s="1680"/>
      <c r="F13" s="1680" t="s">
        <v>74</v>
      </c>
      <c r="G13" s="1680"/>
      <c r="H13" s="1680" t="s">
        <v>74</v>
      </c>
      <c r="I13" s="1680"/>
      <c r="J13" s="1680">
        <v>42</v>
      </c>
      <c r="K13" s="1680"/>
      <c r="L13" s="1680">
        <v>2346</v>
      </c>
      <c r="M13" s="1680"/>
      <c r="N13" s="1680">
        <v>67</v>
      </c>
      <c r="O13" s="1680"/>
      <c r="P13" s="1682">
        <v>2456</v>
      </c>
      <c r="Q13" s="1682"/>
      <c r="R13" s="3"/>
      <c r="S13" s="3"/>
      <c r="T13" s="3"/>
      <c r="U13" s="3"/>
      <c r="V13" s="3"/>
      <c r="W13" s="3"/>
      <c r="X13" s="3"/>
      <c r="Y13" s="3"/>
      <c r="Z13" s="3"/>
    </row>
    <row r="14" spans="1:26" ht="15" customHeight="1" x14ac:dyDescent="0.3">
      <c r="A14" s="3"/>
      <c r="B14" s="676"/>
      <c r="C14" s="676"/>
      <c r="D14" s="767"/>
      <c r="E14" s="767"/>
      <c r="F14" s="767"/>
      <c r="G14" s="767"/>
      <c r="H14" s="767"/>
      <c r="I14" s="767"/>
      <c r="J14" s="767"/>
      <c r="K14" s="767"/>
      <c r="L14" s="767"/>
      <c r="M14" s="767"/>
      <c r="N14" s="767"/>
      <c r="O14" s="767"/>
      <c r="P14" s="768"/>
      <c r="Q14" s="768"/>
      <c r="R14" s="3"/>
      <c r="S14" s="3"/>
      <c r="T14" s="3"/>
      <c r="U14" s="3"/>
      <c r="V14" s="3"/>
      <c r="W14" s="3"/>
      <c r="X14" s="3"/>
      <c r="Y14" s="3"/>
      <c r="Z14" s="3"/>
    </row>
    <row r="15" spans="1:26" ht="15" customHeight="1" x14ac:dyDescent="0.3">
      <c r="A15" s="3"/>
      <c r="B15" s="232"/>
      <c r="C15" s="233"/>
      <c r="D15" s="3"/>
      <c r="E15" s="145"/>
      <c r="F15" s="3"/>
      <c r="G15" s="3"/>
      <c r="H15" s="3"/>
      <c r="I15" s="3"/>
      <c r="J15" s="3"/>
      <c r="K15" s="3"/>
      <c r="L15" s="3"/>
      <c r="M15" s="3"/>
      <c r="N15" s="3"/>
      <c r="O15" s="3"/>
      <c r="P15" s="3"/>
      <c r="Q15" s="3"/>
      <c r="R15" s="3"/>
      <c r="S15" s="3"/>
      <c r="T15" s="3"/>
      <c r="U15" s="3"/>
      <c r="V15" s="3"/>
      <c r="W15" s="3"/>
      <c r="X15" s="3"/>
      <c r="Y15" s="3"/>
      <c r="Z15" s="3"/>
    </row>
    <row r="16" spans="1:26" ht="15" customHeight="1" x14ac:dyDescent="0.3">
      <c r="A16" s="3"/>
      <c r="B16" s="26" t="s">
        <v>231</v>
      </c>
      <c r="C16" s="256"/>
      <c r="D16" s="3"/>
      <c r="E16" s="3"/>
      <c r="F16" s="3"/>
      <c r="G16" s="3"/>
      <c r="H16" s="3"/>
      <c r="I16" s="3"/>
      <c r="J16" s="3"/>
      <c r="K16" s="3"/>
      <c r="L16" s="3"/>
      <c r="M16" s="3"/>
      <c r="N16" s="3"/>
      <c r="O16" s="3"/>
      <c r="P16" s="3"/>
      <c r="Q16" s="3"/>
      <c r="R16" s="3"/>
      <c r="S16" s="3"/>
      <c r="T16" s="3"/>
      <c r="U16" s="3"/>
      <c r="V16" s="3"/>
      <c r="W16" s="3"/>
      <c r="X16" s="3"/>
      <c r="Y16" s="3"/>
      <c r="Z16" s="3"/>
    </row>
    <row r="17" spans="1:26" ht="15" customHeight="1" x14ac:dyDescent="0.3">
      <c r="A17" s="3"/>
      <c r="B17" s="1623" t="s">
        <v>229</v>
      </c>
      <c r="C17" s="1623"/>
      <c r="D17" s="1623"/>
      <c r="E17" s="1623"/>
      <c r="F17" s="1623"/>
      <c r="G17" s="1623"/>
      <c r="H17" s="1623"/>
      <c r="I17" s="1623"/>
      <c r="J17" s="1623" t="s">
        <v>230</v>
      </c>
      <c r="K17" s="1623"/>
      <c r="L17" s="1623"/>
      <c r="M17" s="1623"/>
      <c r="N17" s="1623"/>
      <c r="O17" s="1623"/>
      <c r="P17" s="1623"/>
      <c r="Q17" s="1623"/>
      <c r="R17" s="3"/>
      <c r="S17" s="3"/>
      <c r="T17" s="3"/>
      <c r="U17" s="3"/>
      <c r="V17" s="3"/>
      <c r="W17" s="3"/>
      <c r="X17" s="3"/>
      <c r="Y17" s="3"/>
      <c r="Z17" s="3"/>
    </row>
    <row r="18" spans="1:26" ht="15" customHeight="1" x14ac:dyDescent="0.3">
      <c r="A18" s="3"/>
      <c r="B18" s="1623"/>
      <c r="C18" s="1623"/>
      <c r="D18" s="1623"/>
      <c r="E18" s="1623"/>
      <c r="F18" s="1623"/>
      <c r="G18" s="1623"/>
      <c r="H18" s="1623"/>
      <c r="I18" s="1623"/>
      <c r="J18" s="1623"/>
      <c r="K18" s="1623"/>
      <c r="L18" s="1623"/>
      <c r="M18" s="1623"/>
      <c r="N18" s="1623"/>
      <c r="O18" s="1623"/>
      <c r="P18" s="1623"/>
      <c r="Q18" s="1623"/>
      <c r="R18" s="3"/>
      <c r="S18" s="3"/>
      <c r="T18" s="3"/>
      <c r="U18" s="3"/>
      <c r="V18" s="3"/>
      <c r="W18" s="3"/>
      <c r="X18" s="3"/>
      <c r="Y18" s="3"/>
      <c r="Z18" s="3"/>
    </row>
    <row r="19" spans="1:26" ht="15" customHeight="1" x14ac:dyDescent="0.3">
      <c r="A19" s="3"/>
      <c r="B19" s="1642" t="s">
        <v>225</v>
      </c>
      <c r="C19" s="1642"/>
      <c r="D19" s="1642"/>
      <c r="E19" s="1642"/>
      <c r="F19" s="1642"/>
      <c r="G19" s="1642"/>
      <c r="H19" s="1642"/>
      <c r="I19" s="1642"/>
      <c r="J19" s="1683">
        <v>2310500</v>
      </c>
      <c r="K19" s="1684"/>
      <c r="L19" s="1684"/>
      <c r="M19" s="1684"/>
      <c r="N19" s="1684"/>
      <c r="O19" s="1684"/>
      <c r="P19" s="1684"/>
      <c r="Q19" s="1685"/>
      <c r="R19" s="3"/>
      <c r="S19" s="3"/>
      <c r="T19" s="3"/>
      <c r="U19" s="3"/>
      <c r="V19" s="3"/>
      <c r="W19" s="3"/>
      <c r="X19" s="3"/>
      <c r="Y19" s="3"/>
      <c r="Z19" s="3"/>
    </row>
    <row r="20" spans="1:26" ht="15" customHeight="1" x14ac:dyDescent="0.3">
      <c r="A20" s="3"/>
      <c r="B20" s="1642" t="s">
        <v>226</v>
      </c>
      <c r="C20" s="1642"/>
      <c r="D20" s="1642"/>
      <c r="E20" s="1642"/>
      <c r="F20" s="1642"/>
      <c r="G20" s="1642"/>
      <c r="H20" s="1642"/>
      <c r="I20" s="1642"/>
      <c r="J20" s="1683">
        <v>331400</v>
      </c>
      <c r="K20" s="1684"/>
      <c r="L20" s="1684"/>
      <c r="M20" s="1684"/>
      <c r="N20" s="1684"/>
      <c r="O20" s="1684"/>
      <c r="P20" s="1684"/>
      <c r="Q20" s="1685"/>
      <c r="R20" s="3"/>
      <c r="S20" s="3"/>
      <c r="T20" s="3"/>
      <c r="U20" s="3"/>
      <c r="V20" s="3"/>
      <c r="W20" s="3"/>
      <c r="X20" s="3"/>
      <c r="Y20" s="3"/>
      <c r="Z20" s="3"/>
    </row>
    <row r="21" spans="1:26" ht="15" customHeight="1" x14ac:dyDescent="0.3">
      <c r="A21" s="3"/>
      <c r="B21" s="1642" t="s">
        <v>227</v>
      </c>
      <c r="C21" s="1642"/>
      <c r="D21" s="1642"/>
      <c r="E21" s="1642"/>
      <c r="F21" s="1642"/>
      <c r="G21" s="1642"/>
      <c r="H21" s="1642"/>
      <c r="I21" s="1642"/>
      <c r="J21" s="1683">
        <v>31100</v>
      </c>
      <c r="K21" s="1684"/>
      <c r="L21" s="1684"/>
      <c r="M21" s="1684"/>
      <c r="N21" s="1684"/>
      <c r="O21" s="1684"/>
      <c r="P21" s="1684"/>
      <c r="Q21" s="1685"/>
      <c r="R21" s="3"/>
      <c r="S21" s="3"/>
      <c r="T21" s="3"/>
      <c r="U21" s="3"/>
      <c r="V21" s="3"/>
      <c r="W21" s="3"/>
      <c r="X21" s="3"/>
      <c r="Y21" s="3"/>
      <c r="Z21" s="3"/>
    </row>
    <row r="22" spans="1:26" ht="15" customHeight="1" x14ac:dyDescent="0.3">
      <c r="A22" s="3"/>
      <c r="B22" s="1642" t="s">
        <v>228</v>
      </c>
      <c r="C22" s="1642"/>
      <c r="D22" s="1642"/>
      <c r="E22" s="1642"/>
      <c r="F22" s="1642"/>
      <c r="G22" s="1642"/>
      <c r="H22" s="1642"/>
      <c r="I22" s="1642"/>
      <c r="J22" s="1683">
        <v>2500</v>
      </c>
      <c r="K22" s="1684"/>
      <c r="L22" s="1684"/>
      <c r="M22" s="1684"/>
      <c r="N22" s="1684"/>
      <c r="O22" s="1684"/>
      <c r="P22" s="1684"/>
      <c r="Q22" s="1685"/>
      <c r="R22" s="3"/>
      <c r="S22" s="3"/>
      <c r="T22" s="3"/>
      <c r="U22" s="3"/>
      <c r="V22" s="3"/>
      <c r="W22" s="3"/>
      <c r="X22" s="3"/>
      <c r="Y22" s="3"/>
      <c r="Z22" s="3"/>
    </row>
    <row r="23" spans="1:26" ht="15" customHeight="1" x14ac:dyDescent="0.3">
      <c r="A23" s="3"/>
      <c r="B23" s="679"/>
      <c r="C23" s="679"/>
      <c r="D23" s="679"/>
      <c r="E23" s="679"/>
      <c r="F23" s="679"/>
      <c r="G23" s="679"/>
      <c r="H23" s="679"/>
      <c r="I23" s="679"/>
      <c r="J23" s="767"/>
      <c r="K23" s="767"/>
      <c r="L23" s="767"/>
      <c r="M23" s="767"/>
      <c r="N23" s="767"/>
      <c r="O23" s="767"/>
      <c r="P23" s="767"/>
      <c r="Q23" s="767"/>
      <c r="R23" s="3"/>
      <c r="S23" s="3"/>
      <c r="T23" s="3"/>
      <c r="U23" s="3"/>
      <c r="V23" s="3"/>
      <c r="W23" s="3"/>
      <c r="X23" s="3"/>
      <c r="Y23" s="3"/>
      <c r="Z23" s="3"/>
    </row>
    <row r="24" spans="1:26" ht="15" customHeight="1" x14ac:dyDescent="0.3">
      <c r="A24" s="3"/>
      <c r="B24" s="232"/>
      <c r="C24" s="257"/>
      <c r="D24" s="3"/>
      <c r="E24" s="3"/>
      <c r="F24" s="3"/>
      <c r="G24" s="3"/>
      <c r="H24" s="3"/>
      <c r="I24" s="3"/>
      <c r="J24" s="3"/>
      <c r="K24" s="3"/>
      <c r="L24" s="3"/>
      <c r="M24" s="3"/>
      <c r="N24" s="3"/>
      <c r="O24" s="3"/>
      <c r="P24" s="3"/>
      <c r="Q24" s="3"/>
      <c r="R24" s="3"/>
      <c r="S24" s="3"/>
      <c r="T24" s="3"/>
      <c r="U24" s="3"/>
      <c r="V24" s="3"/>
      <c r="W24" s="3"/>
      <c r="X24" s="3"/>
      <c r="Y24" s="3"/>
      <c r="Z24" s="3"/>
    </row>
    <row r="25" spans="1:26" ht="15" customHeight="1" x14ac:dyDescent="0.3">
      <c r="A25" s="3"/>
      <c r="B25" s="26" t="s">
        <v>235</v>
      </c>
      <c r="C25" s="256"/>
      <c r="D25" s="3"/>
      <c r="E25" s="3"/>
      <c r="F25" s="3"/>
      <c r="G25" s="3"/>
      <c r="H25" s="3"/>
      <c r="I25" s="3"/>
      <c r="J25" s="3"/>
      <c r="K25" s="3"/>
      <c r="L25" s="3"/>
      <c r="M25" s="3"/>
      <c r="N25" s="3"/>
      <c r="O25" s="3"/>
      <c r="P25" s="3"/>
      <c r="Q25" s="3"/>
      <c r="R25" s="3"/>
      <c r="S25" s="3"/>
      <c r="T25" s="3"/>
      <c r="U25" s="3"/>
      <c r="V25" s="3"/>
      <c r="W25" s="3"/>
      <c r="X25" s="3"/>
      <c r="Y25" s="3"/>
      <c r="Z25" s="3"/>
    </row>
    <row r="26" spans="1:26" ht="15" customHeight="1" x14ac:dyDescent="0.3">
      <c r="A26" s="3"/>
      <c r="B26" s="1623" t="s">
        <v>95</v>
      </c>
      <c r="C26" s="1623"/>
      <c r="D26" s="1623"/>
      <c r="E26" s="1623"/>
      <c r="F26" s="1623"/>
      <c r="G26" s="1623"/>
      <c r="H26" s="1623"/>
      <c r="I26" s="1623"/>
      <c r="J26" s="1623" t="s">
        <v>232</v>
      </c>
      <c r="K26" s="1623"/>
      <c r="L26" s="1623"/>
      <c r="M26" s="1623"/>
      <c r="N26" s="1623"/>
      <c r="O26" s="1623"/>
      <c r="P26" s="1623"/>
      <c r="Q26" s="1623"/>
      <c r="R26" s="3"/>
      <c r="S26" s="3"/>
      <c r="T26" s="3"/>
      <c r="U26" s="3"/>
      <c r="V26" s="3"/>
      <c r="W26" s="3"/>
      <c r="X26" s="3"/>
      <c r="Y26" s="3"/>
      <c r="Z26" s="3"/>
    </row>
    <row r="27" spans="1:26" ht="15" customHeight="1" x14ac:dyDescent="0.3">
      <c r="A27" s="3"/>
      <c r="B27" s="1623"/>
      <c r="C27" s="1623"/>
      <c r="D27" s="1623"/>
      <c r="E27" s="1623"/>
      <c r="F27" s="1623"/>
      <c r="G27" s="1623"/>
      <c r="H27" s="1623"/>
      <c r="I27" s="1623"/>
      <c r="J27" s="1623"/>
      <c r="K27" s="1623"/>
      <c r="L27" s="1623"/>
      <c r="M27" s="1623"/>
      <c r="N27" s="1623"/>
      <c r="O27" s="1623"/>
      <c r="P27" s="1623"/>
      <c r="Q27" s="1623"/>
      <c r="R27" s="3"/>
      <c r="S27" s="3"/>
      <c r="T27" s="3"/>
      <c r="U27" s="3"/>
      <c r="V27" s="3"/>
      <c r="W27" s="3"/>
      <c r="X27" s="3"/>
      <c r="Y27" s="3"/>
      <c r="Z27" s="3"/>
    </row>
    <row r="28" spans="1:26" ht="15" customHeight="1" x14ac:dyDescent="0.3">
      <c r="A28" s="3"/>
      <c r="B28" s="1642" t="s">
        <v>233</v>
      </c>
      <c r="C28" s="1642"/>
      <c r="D28" s="1642"/>
      <c r="E28" s="1642"/>
      <c r="F28" s="1642"/>
      <c r="G28" s="1642"/>
      <c r="H28" s="1642"/>
      <c r="I28" s="1642"/>
      <c r="J28" s="1627">
        <v>1.014</v>
      </c>
      <c r="K28" s="1628"/>
      <c r="L28" s="1628"/>
      <c r="M28" s="1628"/>
      <c r="N28" s="1628"/>
      <c r="O28" s="1628"/>
      <c r="P28" s="1628"/>
      <c r="Q28" s="1629"/>
      <c r="R28" s="3"/>
      <c r="S28" s="3"/>
      <c r="T28" s="3"/>
      <c r="U28" s="3"/>
      <c r="V28" s="3"/>
      <c r="W28" s="3"/>
      <c r="X28" s="3"/>
      <c r="Y28" s="3"/>
      <c r="Z28" s="3"/>
    </row>
    <row r="29" spans="1:26" ht="15" customHeight="1" x14ac:dyDescent="0.3">
      <c r="A29" s="3"/>
      <c r="B29" s="1642" t="s">
        <v>234</v>
      </c>
      <c r="C29" s="1642"/>
      <c r="D29" s="1642"/>
      <c r="E29" s="1642"/>
      <c r="F29" s="1642"/>
      <c r="G29" s="1642"/>
      <c r="H29" s="1642"/>
      <c r="I29" s="1642"/>
      <c r="J29" s="1627">
        <v>1.036</v>
      </c>
      <c r="K29" s="1628"/>
      <c r="L29" s="1628"/>
      <c r="M29" s="1628"/>
      <c r="N29" s="1628"/>
      <c r="O29" s="1628"/>
      <c r="P29" s="1628"/>
      <c r="Q29" s="1629"/>
      <c r="R29" s="3"/>
      <c r="S29" s="3"/>
      <c r="T29" s="3"/>
      <c r="U29" s="3"/>
      <c r="V29" s="3"/>
      <c r="W29" s="3"/>
      <c r="X29" s="3"/>
      <c r="Y29" s="3"/>
      <c r="Z29" s="3"/>
    </row>
    <row r="30" spans="1:26" ht="15" customHeight="1" x14ac:dyDescent="0.3">
      <c r="A30" s="3"/>
      <c r="B30" s="1642" t="s">
        <v>236</v>
      </c>
      <c r="C30" s="1642"/>
      <c r="D30" s="1642"/>
      <c r="E30" s="1642"/>
      <c r="F30" s="1642"/>
      <c r="G30" s="1642"/>
      <c r="H30" s="1642"/>
      <c r="I30" s="1642"/>
      <c r="J30" s="1627">
        <v>1.022</v>
      </c>
      <c r="K30" s="1628"/>
      <c r="L30" s="1628"/>
      <c r="M30" s="1628"/>
      <c r="N30" s="1628"/>
      <c r="O30" s="1628"/>
      <c r="P30" s="1628"/>
      <c r="Q30" s="1629"/>
      <c r="R30" s="3"/>
      <c r="S30" s="3"/>
      <c r="T30" s="3"/>
      <c r="U30" s="3"/>
      <c r="V30" s="3"/>
      <c r="W30" s="3"/>
      <c r="X30" s="3"/>
      <c r="Y30" s="3"/>
      <c r="Z30" s="3"/>
    </row>
    <row r="31" spans="1:26" ht="15" customHeight="1" x14ac:dyDescent="0.3">
      <c r="A31" s="3"/>
      <c r="B31" s="1642" t="s">
        <v>237</v>
      </c>
      <c r="C31" s="1642"/>
      <c r="D31" s="1642"/>
      <c r="E31" s="1642"/>
      <c r="F31" s="1642"/>
      <c r="G31" s="1642"/>
      <c r="H31" s="1642"/>
      <c r="I31" s="1642"/>
      <c r="J31" s="1627">
        <v>1.0229999999999999</v>
      </c>
      <c r="K31" s="1628"/>
      <c r="L31" s="1628"/>
      <c r="M31" s="1628"/>
      <c r="N31" s="1628"/>
      <c r="O31" s="1628"/>
      <c r="P31" s="1628"/>
      <c r="Q31" s="1629"/>
      <c r="R31" s="3"/>
      <c r="S31" s="3"/>
      <c r="T31" s="3"/>
      <c r="U31" s="3"/>
      <c r="V31" s="3"/>
      <c r="W31" s="3"/>
      <c r="X31" s="3"/>
      <c r="Y31" s="3"/>
      <c r="Z31" s="3"/>
    </row>
    <row r="32" spans="1:26" ht="16.8" customHeight="1" x14ac:dyDescent="0.3">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 customHeight="1" x14ac:dyDescent="0.3">
      <c r="A34" s="3"/>
      <c r="B34" s="26" t="s">
        <v>238</v>
      </c>
      <c r="C34" s="256"/>
      <c r="D34" s="3"/>
      <c r="E34" s="3"/>
      <c r="F34" s="3"/>
      <c r="G34" s="3"/>
      <c r="H34" s="3"/>
      <c r="I34" s="3"/>
      <c r="J34" s="3"/>
      <c r="K34" s="3"/>
      <c r="L34" s="3"/>
      <c r="M34" s="3"/>
      <c r="N34" s="3"/>
      <c r="O34" s="3"/>
      <c r="P34" s="3"/>
      <c r="Q34" s="3"/>
      <c r="R34" s="3"/>
      <c r="S34" s="3"/>
      <c r="T34" s="3"/>
      <c r="U34" s="3"/>
      <c r="V34" s="3"/>
      <c r="W34" s="3"/>
      <c r="X34" s="3"/>
      <c r="Y34" s="3"/>
      <c r="Z34" s="79"/>
    </row>
    <row r="35" spans="1:26" ht="15" customHeight="1" x14ac:dyDescent="0.3">
      <c r="A35" s="3"/>
      <c r="B35" s="1623" t="s">
        <v>15</v>
      </c>
      <c r="C35" s="1623"/>
      <c r="D35" s="1623"/>
      <c r="E35" s="1623"/>
      <c r="F35" s="1623"/>
      <c r="G35" s="1623"/>
      <c r="H35" s="1623"/>
      <c r="I35" s="1623"/>
      <c r="J35" s="1623" t="s">
        <v>239</v>
      </c>
      <c r="K35" s="1623"/>
      <c r="L35" s="1623"/>
      <c r="M35" s="1623"/>
      <c r="N35" s="1623"/>
      <c r="O35" s="1623"/>
      <c r="P35" s="1623"/>
      <c r="Q35" s="1623"/>
      <c r="R35" s="3"/>
      <c r="S35" s="3"/>
      <c r="T35" s="3"/>
      <c r="U35" s="3"/>
      <c r="V35" s="3"/>
      <c r="W35" s="3"/>
      <c r="X35" s="3"/>
      <c r="Y35" s="3"/>
      <c r="Z35" s="79"/>
    </row>
    <row r="36" spans="1:26" ht="15" customHeight="1" x14ac:dyDescent="0.3">
      <c r="A36" s="3"/>
      <c r="B36" s="1623"/>
      <c r="C36" s="1623"/>
      <c r="D36" s="1623"/>
      <c r="E36" s="1623"/>
      <c r="F36" s="1623"/>
      <c r="G36" s="1623"/>
      <c r="H36" s="1623"/>
      <c r="I36" s="1623"/>
      <c r="J36" s="1623"/>
      <c r="K36" s="1623"/>
      <c r="L36" s="1623"/>
      <c r="M36" s="1623"/>
      <c r="N36" s="1623"/>
      <c r="O36" s="1623"/>
      <c r="P36" s="1623"/>
      <c r="Q36" s="1623"/>
      <c r="R36" s="3"/>
      <c r="S36" s="3"/>
      <c r="T36" s="3"/>
      <c r="U36" s="3"/>
      <c r="V36" s="3"/>
      <c r="W36" s="3"/>
      <c r="X36" s="3"/>
      <c r="Y36" s="3"/>
      <c r="Z36" s="79"/>
    </row>
    <row r="37" spans="1:26" ht="15" customHeight="1" x14ac:dyDescent="0.3">
      <c r="A37" s="3"/>
      <c r="B37" s="1549" t="s">
        <v>28</v>
      </c>
      <c r="C37" s="1549"/>
      <c r="D37" s="1549"/>
      <c r="E37" s="1549"/>
      <c r="F37" s="1549"/>
      <c r="G37" s="1549"/>
      <c r="H37" s="1549"/>
      <c r="I37" s="1549"/>
      <c r="J37" s="1686">
        <v>0.02</v>
      </c>
      <c r="K37" s="1686"/>
      <c r="L37" s="1686"/>
      <c r="M37" s="1686"/>
      <c r="N37" s="1686"/>
      <c r="O37" s="1686"/>
      <c r="P37" s="1686"/>
      <c r="Q37" s="1686"/>
      <c r="R37" s="3"/>
      <c r="S37" s="3"/>
      <c r="T37" s="3"/>
      <c r="U37" s="3"/>
      <c r="V37" s="3"/>
      <c r="W37" s="3"/>
      <c r="X37" s="3"/>
      <c r="Y37" s="3"/>
      <c r="Z37" s="79"/>
    </row>
    <row r="38" spans="1:26" ht="15" customHeight="1" x14ac:dyDescent="0.3">
      <c r="A38" s="3"/>
      <c r="B38" s="1549" t="s">
        <v>240</v>
      </c>
      <c r="C38" s="1549"/>
      <c r="D38" s="1549"/>
      <c r="E38" s="1549"/>
      <c r="F38" s="1549"/>
      <c r="G38" s="1549"/>
      <c r="H38" s="1549"/>
      <c r="I38" s="1549"/>
      <c r="J38" s="1622" t="s">
        <v>247</v>
      </c>
      <c r="K38" s="1622"/>
      <c r="L38" s="1622"/>
      <c r="M38" s="1622"/>
      <c r="N38" s="1622" t="s">
        <v>248</v>
      </c>
      <c r="O38" s="1622"/>
      <c r="P38" s="1622"/>
      <c r="Q38" s="1622"/>
      <c r="R38" s="3"/>
      <c r="S38" s="3"/>
      <c r="T38" s="3"/>
      <c r="U38" s="3"/>
      <c r="V38" s="3"/>
      <c r="W38" s="3"/>
      <c r="X38" s="3"/>
      <c r="Y38" s="3"/>
      <c r="Z38" s="79"/>
    </row>
    <row r="39" spans="1:26" ht="15" customHeight="1" x14ac:dyDescent="0.3">
      <c r="A39" s="3"/>
      <c r="B39" s="1549"/>
      <c r="C39" s="1549"/>
      <c r="D39" s="1549"/>
      <c r="E39" s="1549"/>
      <c r="F39" s="1549"/>
      <c r="G39" s="1549"/>
      <c r="H39" s="1549"/>
      <c r="I39" s="1549"/>
      <c r="J39" s="1622" t="s">
        <v>246</v>
      </c>
      <c r="K39" s="1622"/>
      <c r="L39" s="1622"/>
      <c r="M39" s="1622"/>
      <c r="N39" s="1622" t="s">
        <v>246</v>
      </c>
      <c r="O39" s="1622"/>
      <c r="P39" s="1622"/>
      <c r="Q39" s="1622"/>
      <c r="R39" s="3"/>
      <c r="S39" s="3"/>
      <c r="T39" s="3"/>
      <c r="U39" s="3"/>
      <c r="V39" s="3"/>
      <c r="W39" s="3"/>
      <c r="X39" s="3"/>
      <c r="Y39" s="3"/>
      <c r="Z39" s="79"/>
    </row>
    <row r="40" spans="1:26" ht="15" customHeight="1" x14ac:dyDescent="0.3">
      <c r="A40" s="3"/>
      <c r="B40" s="1549" t="s">
        <v>241</v>
      </c>
      <c r="C40" s="1549"/>
      <c r="D40" s="1549"/>
      <c r="E40" s="1549"/>
      <c r="F40" s="1549"/>
      <c r="G40" s="1549"/>
      <c r="H40" s="1549"/>
      <c r="I40" s="1549"/>
      <c r="J40" s="1687">
        <v>0.21299999999999999</v>
      </c>
      <c r="K40" s="1687"/>
      <c r="L40" s="1687"/>
      <c r="M40" s="1687"/>
      <c r="N40" s="1687">
        <v>0.08</v>
      </c>
      <c r="O40" s="1687"/>
      <c r="P40" s="1687"/>
      <c r="Q40" s="1687"/>
      <c r="R40" s="3"/>
      <c r="S40" s="3"/>
      <c r="T40" s="3"/>
      <c r="U40" s="3"/>
      <c r="V40" s="3"/>
      <c r="W40" s="3"/>
      <c r="X40" s="3"/>
      <c r="Y40" s="3"/>
      <c r="Z40" s="79"/>
    </row>
    <row r="41" spans="1:26" ht="15" customHeight="1" x14ac:dyDescent="0.3">
      <c r="A41" s="3"/>
      <c r="B41" s="1549" t="s">
        <v>242</v>
      </c>
      <c r="C41" s="1549"/>
      <c r="D41" s="1549"/>
      <c r="E41" s="1549"/>
      <c r="F41" s="1549"/>
      <c r="G41" s="1549"/>
      <c r="H41" s="1549"/>
      <c r="I41" s="1549"/>
      <c r="J41" s="1687">
        <v>0.14000000000000001</v>
      </c>
      <c r="K41" s="1687"/>
      <c r="L41" s="1687"/>
      <c r="M41" s="1687"/>
      <c r="N41" s="1687">
        <v>3.3000000000000002E-2</v>
      </c>
      <c r="O41" s="1687"/>
      <c r="P41" s="1687"/>
      <c r="Q41" s="1687"/>
      <c r="R41" s="3"/>
      <c r="S41" s="3"/>
      <c r="T41" s="3"/>
      <c r="U41" s="3"/>
      <c r="V41" s="3"/>
      <c r="W41" s="3"/>
      <c r="X41" s="3"/>
      <c r="Y41" s="3"/>
      <c r="Z41" s="79"/>
    </row>
    <row r="42" spans="1:26" ht="15" customHeight="1" x14ac:dyDescent="0.3">
      <c r="A42" s="3"/>
      <c r="B42" s="1549" t="s">
        <v>244</v>
      </c>
      <c r="C42" s="1549"/>
      <c r="D42" s="1549"/>
      <c r="E42" s="1549"/>
      <c r="F42" s="1549"/>
      <c r="G42" s="1549"/>
      <c r="H42" s="1549"/>
      <c r="I42" s="1549"/>
      <c r="J42" s="1687">
        <v>0.21299999999999999</v>
      </c>
      <c r="K42" s="1687"/>
      <c r="L42" s="1687"/>
      <c r="M42" s="1687"/>
      <c r="N42" s="1687">
        <v>0.08</v>
      </c>
      <c r="O42" s="1687"/>
      <c r="P42" s="1687"/>
      <c r="Q42" s="1687"/>
      <c r="R42" s="3"/>
      <c r="S42" s="3"/>
      <c r="T42" s="3"/>
      <c r="U42" s="3"/>
      <c r="V42" s="3"/>
      <c r="W42" s="3"/>
      <c r="X42" s="3"/>
      <c r="Y42" s="3"/>
      <c r="Z42" s="79"/>
    </row>
    <row r="43" spans="1:26" ht="15" customHeight="1" x14ac:dyDescent="0.3">
      <c r="A43" s="3"/>
      <c r="B43" s="1549" t="s">
        <v>243</v>
      </c>
      <c r="C43" s="1549"/>
      <c r="D43" s="1549"/>
      <c r="E43" s="1549"/>
      <c r="F43" s="1549"/>
      <c r="G43" s="1549"/>
      <c r="H43" s="1549"/>
      <c r="I43" s="1549"/>
      <c r="J43" s="1687">
        <v>0.14000000000000001</v>
      </c>
      <c r="K43" s="1687"/>
      <c r="L43" s="1687"/>
      <c r="M43" s="1687"/>
      <c r="N43" s="1687">
        <v>3.3000000000000002E-2</v>
      </c>
      <c r="O43" s="1687"/>
      <c r="P43" s="1687"/>
      <c r="Q43" s="1687"/>
      <c r="R43" s="3"/>
      <c r="S43" s="3"/>
      <c r="T43" s="3"/>
      <c r="U43" s="3"/>
      <c r="V43" s="3"/>
      <c r="W43" s="3"/>
      <c r="X43" s="3"/>
      <c r="Y43" s="3"/>
      <c r="Z43" s="79"/>
    </row>
    <row r="44" spans="1:26" ht="15" customHeight="1" x14ac:dyDescent="0.3">
      <c r="A44" s="3"/>
      <c r="B44" s="1549" t="s">
        <v>245</v>
      </c>
      <c r="C44" s="1549"/>
      <c r="D44" s="1549"/>
      <c r="E44" s="1549"/>
      <c r="F44" s="1549"/>
      <c r="G44" s="1549"/>
      <c r="H44" s="1549"/>
      <c r="I44" s="1549"/>
      <c r="J44" s="1687">
        <v>0.156</v>
      </c>
      <c r="K44" s="1687"/>
      <c r="L44" s="1687"/>
      <c r="M44" s="1687"/>
      <c r="N44" s="1687" t="s">
        <v>74</v>
      </c>
      <c r="O44" s="1687"/>
      <c r="P44" s="1687"/>
      <c r="Q44" s="1687"/>
      <c r="R44" s="3"/>
      <c r="S44" s="3"/>
      <c r="T44" s="3"/>
      <c r="U44" s="3"/>
      <c r="V44" s="3"/>
      <c r="W44" s="3"/>
      <c r="X44" s="3"/>
      <c r="Y44" s="3"/>
      <c r="Z44" s="79"/>
    </row>
    <row r="45" spans="1:26" ht="15" customHeight="1" x14ac:dyDescent="0.3">
      <c r="A45" s="3"/>
      <c r="B45" s="3"/>
      <c r="C45" s="3"/>
      <c r="D45" s="3"/>
      <c r="E45" s="3"/>
      <c r="F45" s="3"/>
      <c r="G45" s="3"/>
      <c r="H45" s="3"/>
      <c r="I45" s="3"/>
      <c r="J45" s="3"/>
      <c r="K45" s="3"/>
      <c r="L45" s="3"/>
      <c r="M45" s="3"/>
      <c r="N45" s="3"/>
      <c r="O45" s="3"/>
      <c r="P45" s="3"/>
      <c r="Q45" s="3"/>
      <c r="R45" s="3"/>
      <c r="S45" s="3"/>
      <c r="T45" s="3"/>
      <c r="U45" s="3"/>
      <c r="V45" s="3"/>
      <c r="W45" s="3"/>
      <c r="X45" s="3"/>
      <c r="Y45" s="3"/>
      <c r="Z45" s="79"/>
    </row>
    <row r="46" spans="1:26" ht="15" customHeight="1" x14ac:dyDescent="0.3">
      <c r="A46" s="3"/>
      <c r="B46" s="26" t="s">
        <v>249</v>
      </c>
      <c r="C46" s="256"/>
      <c r="D46" s="3"/>
      <c r="E46" s="3"/>
      <c r="F46" s="3"/>
      <c r="G46" s="3"/>
      <c r="H46" s="3"/>
      <c r="I46" s="3"/>
      <c r="J46" s="3"/>
      <c r="K46" s="3"/>
      <c r="L46" s="3"/>
      <c r="M46" s="3"/>
      <c r="N46" s="3"/>
      <c r="O46" s="3"/>
      <c r="P46" s="3"/>
      <c r="Q46" s="3"/>
      <c r="R46" s="3"/>
      <c r="S46" s="3"/>
      <c r="T46" s="3"/>
      <c r="U46" s="3"/>
      <c r="V46" s="3"/>
      <c r="W46" s="3"/>
      <c r="X46" s="3"/>
      <c r="Y46" s="3"/>
      <c r="Z46" s="79"/>
    </row>
    <row r="47" spans="1:26" ht="15" customHeight="1" x14ac:dyDescent="0.3">
      <c r="A47" s="3"/>
      <c r="B47" s="1623" t="s">
        <v>15</v>
      </c>
      <c r="C47" s="1623"/>
      <c r="D47" s="1623"/>
      <c r="E47" s="1623"/>
      <c r="F47" s="1623"/>
      <c r="G47" s="1623"/>
      <c r="H47" s="1623"/>
      <c r="I47" s="1623"/>
      <c r="J47" s="1623" t="s">
        <v>251</v>
      </c>
      <c r="K47" s="1623"/>
      <c r="L47" s="1623"/>
      <c r="M47" s="1623"/>
      <c r="N47" s="1623"/>
      <c r="O47" s="1623"/>
      <c r="P47" s="1623"/>
      <c r="Q47" s="1623"/>
      <c r="R47" s="1623"/>
      <c r="S47" s="1623"/>
      <c r="T47" s="1623"/>
      <c r="U47" s="1623"/>
      <c r="V47" s="75"/>
      <c r="W47" s="3"/>
      <c r="X47" s="3"/>
      <c r="Y47" s="3"/>
      <c r="Z47" s="79"/>
    </row>
    <row r="48" spans="1:26" ht="15" customHeight="1" x14ac:dyDescent="0.3">
      <c r="A48" s="3"/>
      <c r="B48" s="1623"/>
      <c r="C48" s="1623"/>
      <c r="D48" s="1623"/>
      <c r="E48" s="1623"/>
      <c r="F48" s="1623"/>
      <c r="G48" s="1623"/>
      <c r="H48" s="1623"/>
      <c r="I48" s="1623"/>
      <c r="J48" s="1624" t="s">
        <v>225</v>
      </c>
      <c r="K48" s="1625"/>
      <c r="L48" s="1625"/>
      <c r="M48" s="1626"/>
      <c r="N48" s="1624" t="s">
        <v>226</v>
      </c>
      <c r="O48" s="1625"/>
      <c r="P48" s="1625"/>
      <c r="Q48" s="1626"/>
      <c r="R48" s="1619" t="s">
        <v>250</v>
      </c>
      <c r="S48" s="1620"/>
      <c r="T48" s="1620"/>
      <c r="U48" s="1621"/>
      <c r="V48" s="79"/>
      <c r="W48" s="3"/>
      <c r="X48" s="3"/>
      <c r="Y48" s="3"/>
      <c r="Z48" s="79"/>
    </row>
    <row r="49" spans="1:26" ht="15" customHeight="1" x14ac:dyDescent="0.3">
      <c r="A49" s="3"/>
      <c r="B49" s="1549" t="s">
        <v>28</v>
      </c>
      <c r="C49" s="1549"/>
      <c r="D49" s="1549"/>
      <c r="E49" s="1549"/>
      <c r="F49" s="1549"/>
      <c r="G49" s="1549"/>
      <c r="H49" s="1549"/>
      <c r="I49" s="1549"/>
      <c r="J49" s="1627">
        <v>3.7999999999999999E-2</v>
      </c>
      <c r="K49" s="1628"/>
      <c r="L49" s="1628"/>
      <c r="M49" s="1629"/>
      <c r="N49" s="1627">
        <v>5.0999999999999997E-2</v>
      </c>
      <c r="O49" s="1628"/>
      <c r="P49" s="1628"/>
      <c r="Q49" s="1629"/>
      <c r="R49" s="1619">
        <v>0.91100000000000003</v>
      </c>
      <c r="S49" s="1620"/>
      <c r="T49" s="1620"/>
      <c r="U49" s="1621"/>
      <c r="V49" s="79"/>
      <c r="W49" s="3"/>
      <c r="X49" s="3"/>
      <c r="Y49" s="3"/>
      <c r="Z49" s="79"/>
    </row>
    <row r="50" spans="1:26" ht="15" customHeight="1" x14ac:dyDescent="0.3">
      <c r="A50" s="3"/>
      <c r="B50" s="1549" t="s">
        <v>240</v>
      </c>
      <c r="C50" s="1549"/>
      <c r="D50" s="1549"/>
      <c r="E50" s="1549"/>
      <c r="F50" s="1549"/>
      <c r="G50" s="1549"/>
      <c r="H50" s="1549"/>
      <c r="I50" s="1549"/>
      <c r="J50" s="1619" t="s">
        <v>247</v>
      </c>
      <c r="K50" s="1620"/>
      <c r="L50" s="1620"/>
      <c r="M50" s="1620"/>
      <c r="N50" s="1620"/>
      <c r="O50" s="1621"/>
      <c r="P50" s="1619" t="s">
        <v>248</v>
      </c>
      <c r="Q50" s="1620"/>
      <c r="R50" s="1620"/>
      <c r="S50" s="1620"/>
      <c r="T50" s="1620"/>
      <c r="U50" s="1621"/>
      <c r="V50" s="79"/>
      <c r="W50" s="3"/>
      <c r="X50" s="3"/>
      <c r="Y50" s="3"/>
      <c r="Z50" s="79"/>
    </row>
    <row r="51" spans="1:26" ht="15" customHeight="1" x14ac:dyDescent="0.3">
      <c r="A51" s="3"/>
      <c r="B51" s="1549" t="s">
        <v>252</v>
      </c>
      <c r="C51" s="1549"/>
      <c r="D51" s="1549"/>
      <c r="E51" s="1549"/>
      <c r="F51" s="1549"/>
      <c r="G51" s="1549"/>
      <c r="H51" s="1549"/>
      <c r="I51" s="1549"/>
      <c r="J51" s="1622" t="s">
        <v>225</v>
      </c>
      <c r="K51" s="1622"/>
      <c r="L51" s="1622" t="s">
        <v>226</v>
      </c>
      <c r="M51" s="1622"/>
      <c r="N51" s="1622" t="s">
        <v>250</v>
      </c>
      <c r="O51" s="1622"/>
      <c r="P51" s="1622" t="s">
        <v>225</v>
      </c>
      <c r="Q51" s="1622"/>
      <c r="R51" s="1622" t="s">
        <v>226</v>
      </c>
      <c r="S51" s="1622"/>
      <c r="T51" s="1622" t="s">
        <v>250</v>
      </c>
      <c r="U51" s="1622"/>
      <c r="V51" s="79"/>
      <c r="W51" s="79"/>
      <c r="X51" s="3"/>
      <c r="Y51" s="3"/>
      <c r="Z51" s="79"/>
    </row>
    <row r="52" spans="1:26" ht="15" customHeight="1" x14ac:dyDescent="0.3">
      <c r="A52" s="3"/>
      <c r="B52" s="1549" t="s">
        <v>241</v>
      </c>
      <c r="C52" s="1549"/>
      <c r="D52" s="1549"/>
      <c r="E52" s="1549"/>
      <c r="F52" s="1549"/>
      <c r="G52" s="1549"/>
      <c r="H52" s="1549"/>
      <c r="I52" s="1549"/>
      <c r="J52" s="1617">
        <v>1.4E-2</v>
      </c>
      <c r="K52" s="1618"/>
      <c r="L52" s="1617">
        <v>6.2E-2</v>
      </c>
      <c r="M52" s="1618"/>
      <c r="N52" s="1617">
        <v>0.92400000000000004</v>
      </c>
      <c r="O52" s="1618"/>
      <c r="P52" s="1617">
        <v>6.2E-2</v>
      </c>
      <c r="Q52" s="1618"/>
      <c r="R52" s="1617">
        <v>9.6000000000000002E-2</v>
      </c>
      <c r="S52" s="1618"/>
      <c r="T52" s="1617">
        <v>0.84199999999999997</v>
      </c>
      <c r="U52" s="1618"/>
      <c r="V52" s="259"/>
      <c r="W52" s="259"/>
      <c r="X52" s="3"/>
      <c r="Y52" s="3"/>
      <c r="Z52" s="79"/>
    </row>
    <row r="53" spans="1:26" ht="15" customHeight="1" x14ac:dyDescent="0.3">
      <c r="A53" s="3"/>
      <c r="B53" s="1549" t="s">
        <v>242</v>
      </c>
      <c r="C53" s="1549"/>
      <c r="D53" s="1549"/>
      <c r="E53" s="1549"/>
      <c r="F53" s="1549"/>
      <c r="G53" s="1549"/>
      <c r="H53" s="1549"/>
      <c r="I53" s="1549"/>
      <c r="J53" s="1617">
        <v>2.4E-2</v>
      </c>
      <c r="K53" s="1618"/>
      <c r="L53" s="1617">
        <v>5.3999999999999999E-2</v>
      </c>
      <c r="M53" s="1618"/>
      <c r="N53" s="1617">
        <v>0.92200000000000004</v>
      </c>
      <c r="O53" s="1618"/>
      <c r="P53" s="1617">
        <v>3.5000000000000003E-2</v>
      </c>
      <c r="Q53" s="1618"/>
      <c r="R53" s="1617">
        <v>4.9000000000000002E-2</v>
      </c>
      <c r="S53" s="1618"/>
      <c r="T53" s="1617">
        <v>0.91600000000000004</v>
      </c>
      <c r="U53" s="1618"/>
      <c r="V53" s="259"/>
      <c r="W53" s="259"/>
      <c r="X53" s="3"/>
      <c r="Y53" s="3"/>
      <c r="Z53" s="79"/>
    </row>
    <row r="54" spans="1:26" ht="15" customHeight="1" x14ac:dyDescent="0.3">
      <c r="A54" s="3"/>
      <c r="B54" s="1549" t="s">
        <v>244</v>
      </c>
      <c r="C54" s="1549"/>
      <c r="D54" s="1549"/>
      <c r="E54" s="1549"/>
      <c r="F54" s="1549"/>
      <c r="G54" s="1549"/>
      <c r="H54" s="1549"/>
      <c r="I54" s="1549"/>
      <c r="J54" s="1617">
        <v>1.4E-2</v>
      </c>
      <c r="K54" s="1618"/>
      <c r="L54" s="1617">
        <v>6.2E-2</v>
      </c>
      <c r="M54" s="1618"/>
      <c r="N54" s="1617">
        <v>0.92400000000000004</v>
      </c>
      <c r="O54" s="1618"/>
      <c r="P54" s="1617">
        <v>6.2E-2</v>
      </c>
      <c r="Q54" s="1618"/>
      <c r="R54" s="1617">
        <v>9.6000000000000002E-2</v>
      </c>
      <c r="S54" s="1618"/>
      <c r="T54" s="1617">
        <v>0.84199999999999997</v>
      </c>
      <c r="U54" s="1618"/>
      <c r="V54" s="259"/>
      <c r="W54" s="259"/>
      <c r="X54" s="3"/>
      <c r="Y54" s="3"/>
      <c r="Z54" s="79"/>
    </row>
    <row r="55" spans="1:26" ht="15" customHeight="1" x14ac:dyDescent="0.3">
      <c r="A55" s="3"/>
      <c r="B55" s="1549" t="s">
        <v>243</v>
      </c>
      <c r="C55" s="1549"/>
      <c r="D55" s="1549"/>
      <c r="E55" s="1549"/>
      <c r="F55" s="1549"/>
      <c r="G55" s="1549"/>
      <c r="H55" s="1549"/>
      <c r="I55" s="1549"/>
      <c r="J55" s="1617">
        <v>2.4E-2</v>
      </c>
      <c r="K55" s="1618"/>
      <c r="L55" s="1617">
        <v>5.3999999999999999E-2</v>
      </c>
      <c r="M55" s="1618"/>
      <c r="N55" s="1617">
        <v>0.92200000000000004</v>
      </c>
      <c r="O55" s="1618"/>
      <c r="P55" s="1617">
        <v>3.5000000000000003E-2</v>
      </c>
      <c r="Q55" s="1618"/>
      <c r="R55" s="1617">
        <v>4.9000000000000002E-2</v>
      </c>
      <c r="S55" s="1618"/>
      <c r="T55" s="1617">
        <v>0.91600000000000004</v>
      </c>
      <c r="U55" s="1618"/>
      <c r="V55" s="259"/>
      <c r="W55" s="259"/>
      <c r="X55" s="3"/>
      <c r="Y55" s="3"/>
      <c r="Z55" s="79"/>
    </row>
    <row r="56" spans="1:26" ht="15" customHeight="1" x14ac:dyDescent="0.3">
      <c r="A56" s="3"/>
      <c r="B56" s="1549" t="s">
        <v>245</v>
      </c>
      <c r="C56" s="1549"/>
      <c r="D56" s="1549"/>
      <c r="E56" s="1549"/>
      <c r="F56" s="1549"/>
      <c r="G56" s="1549"/>
      <c r="H56" s="1549"/>
      <c r="I56" s="1549"/>
      <c r="J56" s="1617">
        <v>1.4E-2</v>
      </c>
      <c r="K56" s="1618"/>
      <c r="L56" s="1617">
        <v>6.2E-2</v>
      </c>
      <c r="M56" s="1618"/>
      <c r="N56" s="1617">
        <v>0.92400000000000004</v>
      </c>
      <c r="O56" s="1618"/>
      <c r="P56" s="1617" t="s">
        <v>74</v>
      </c>
      <c r="Q56" s="1618"/>
      <c r="R56" s="1617" t="s">
        <v>74</v>
      </c>
      <c r="S56" s="1618"/>
      <c r="T56" s="1617" t="s">
        <v>74</v>
      </c>
      <c r="U56" s="1618"/>
      <c r="V56" s="259"/>
      <c r="W56" s="259"/>
      <c r="X56" s="3"/>
      <c r="Y56" s="3"/>
      <c r="Z56" s="79"/>
    </row>
    <row r="57" spans="1:26" ht="15" customHeight="1" x14ac:dyDescent="0.3">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row>
    <row r="58" spans="1:26" ht="15" customHeight="1" x14ac:dyDescent="0.3">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row>
    <row r="59" spans="1:26" ht="15" customHeight="1" x14ac:dyDescent="0.3">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row>
    <row r="60" spans="1:26" ht="15" customHeight="1" x14ac:dyDescent="0.3">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row>
    <row r="61" spans="1:26" ht="15" customHeight="1" x14ac:dyDescent="0.3">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15" customHeight="1" x14ac:dyDescent="0.3">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row>
    <row r="63" spans="1:26" ht="15" customHeight="1" x14ac:dyDescent="0.3">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row>
    <row r="64" spans="1:26" ht="16.8" customHeight="1" x14ac:dyDescent="0.3">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x14ac:dyDescent="0.3">
      <c r="A66" s="3"/>
      <c r="B66" s="26" t="s">
        <v>253</v>
      </c>
      <c r="C66" s="256"/>
      <c r="D66" s="3"/>
      <c r="E66" s="3"/>
      <c r="F66" s="3"/>
      <c r="G66" s="3"/>
      <c r="H66" s="3"/>
      <c r="I66" s="3"/>
      <c r="J66" s="3"/>
      <c r="K66" s="3"/>
      <c r="L66" s="3"/>
      <c r="M66" s="3"/>
      <c r="N66" s="3"/>
      <c r="O66" s="3"/>
      <c r="P66" s="3"/>
      <c r="Q66" s="3"/>
      <c r="R66" s="3"/>
      <c r="S66" s="3"/>
      <c r="T66" s="3"/>
      <c r="U66" s="3"/>
      <c r="V66" s="3"/>
      <c r="W66" s="3"/>
      <c r="X66" s="3"/>
      <c r="Y66" s="3"/>
      <c r="Z66" s="79"/>
    </row>
    <row r="67" spans="1:26" ht="15" customHeight="1" x14ac:dyDescent="0.3">
      <c r="A67" s="3"/>
      <c r="B67" s="1623" t="s">
        <v>15</v>
      </c>
      <c r="C67" s="1623"/>
      <c r="D67" s="1623"/>
      <c r="E67" s="1623"/>
      <c r="F67" s="1623"/>
      <c r="G67" s="1623"/>
      <c r="H67" s="1623"/>
      <c r="I67" s="1623"/>
      <c r="J67" s="1623" t="s">
        <v>254</v>
      </c>
      <c r="K67" s="1623"/>
      <c r="L67" s="1623"/>
      <c r="M67" s="1623"/>
      <c r="N67" s="1623"/>
      <c r="O67" s="1623"/>
      <c r="P67" s="1623"/>
      <c r="Q67" s="1623"/>
      <c r="R67" s="1623"/>
      <c r="S67" s="1623"/>
      <c r="T67" s="1623"/>
      <c r="U67" s="1623"/>
      <c r="V67" s="3"/>
      <c r="W67" s="3"/>
      <c r="X67" s="3"/>
      <c r="Y67" s="3"/>
      <c r="Z67" s="79"/>
    </row>
    <row r="68" spans="1:26" ht="15" customHeight="1" x14ac:dyDescent="0.3">
      <c r="A68" s="3"/>
      <c r="B68" s="1623"/>
      <c r="C68" s="1623"/>
      <c r="D68" s="1623"/>
      <c r="E68" s="1623"/>
      <c r="F68" s="1623"/>
      <c r="G68" s="1623"/>
      <c r="H68" s="1623"/>
      <c r="I68" s="1623"/>
      <c r="J68" s="1624" t="s">
        <v>225</v>
      </c>
      <c r="K68" s="1625"/>
      <c r="L68" s="1625"/>
      <c r="M68" s="1626"/>
      <c r="N68" s="1624" t="s">
        <v>226</v>
      </c>
      <c r="O68" s="1625"/>
      <c r="P68" s="1625"/>
      <c r="Q68" s="1626"/>
      <c r="R68" s="1619" t="s">
        <v>250</v>
      </c>
      <c r="S68" s="1620"/>
      <c r="T68" s="1620"/>
      <c r="U68" s="1621"/>
      <c r="V68" s="3"/>
      <c r="W68" s="3"/>
      <c r="X68" s="3"/>
      <c r="Y68" s="3"/>
      <c r="Z68" s="79"/>
    </row>
    <row r="69" spans="1:26" ht="15" customHeight="1" x14ac:dyDescent="0.3">
      <c r="A69" s="3"/>
      <c r="B69" s="1549" t="s">
        <v>28</v>
      </c>
      <c r="C69" s="1549"/>
      <c r="D69" s="1549"/>
      <c r="E69" s="1549"/>
      <c r="F69" s="1549"/>
      <c r="G69" s="1549"/>
      <c r="H69" s="1549"/>
      <c r="I69" s="1549"/>
      <c r="J69" s="1627">
        <v>7.1999999999999995E-2</v>
      </c>
      <c r="K69" s="1628"/>
      <c r="L69" s="1628"/>
      <c r="M69" s="1629"/>
      <c r="N69" s="1627">
        <v>6.3E-2</v>
      </c>
      <c r="O69" s="1628"/>
      <c r="P69" s="1628"/>
      <c r="Q69" s="1629"/>
      <c r="R69" s="1619">
        <v>1.3220000000000001</v>
      </c>
      <c r="S69" s="1620"/>
      <c r="T69" s="1620"/>
      <c r="U69" s="1621"/>
      <c r="V69" s="3"/>
      <c r="W69" s="3"/>
      <c r="X69" s="3"/>
      <c r="Y69" s="3"/>
      <c r="Z69" s="79"/>
    </row>
    <row r="70" spans="1:26" ht="15" customHeight="1" x14ac:dyDescent="0.3">
      <c r="A70" s="3"/>
      <c r="B70" s="1549" t="s">
        <v>240</v>
      </c>
      <c r="C70" s="1549"/>
      <c r="D70" s="1549"/>
      <c r="E70" s="1549"/>
      <c r="F70" s="1549"/>
      <c r="G70" s="1549"/>
      <c r="H70" s="1549"/>
      <c r="I70" s="1549"/>
      <c r="J70" s="1619" t="s">
        <v>247</v>
      </c>
      <c r="K70" s="1620"/>
      <c r="L70" s="1620"/>
      <c r="M70" s="1620"/>
      <c r="N70" s="1620"/>
      <c r="O70" s="1621"/>
      <c r="P70" s="1619" t="s">
        <v>248</v>
      </c>
      <c r="Q70" s="1620"/>
      <c r="R70" s="1620"/>
      <c r="S70" s="1620"/>
      <c r="T70" s="1620"/>
      <c r="U70" s="1621"/>
      <c r="V70" s="3"/>
      <c r="W70" s="3"/>
      <c r="X70" s="3"/>
      <c r="Y70" s="3"/>
      <c r="Z70" s="79"/>
    </row>
    <row r="71" spans="1:26" ht="15" customHeight="1" x14ac:dyDescent="0.3">
      <c r="A71" s="3"/>
      <c r="B71" s="1549" t="s">
        <v>252</v>
      </c>
      <c r="C71" s="1549"/>
      <c r="D71" s="1549"/>
      <c r="E71" s="1549"/>
      <c r="F71" s="1549"/>
      <c r="G71" s="1549"/>
      <c r="H71" s="1549"/>
      <c r="I71" s="1549"/>
      <c r="J71" s="1622" t="s">
        <v>225</v>
      </c>
      <c r="K71" s="1622"/>
      <c r="L71" s="1622" t="s">
        <v>226</v>
      </c>
      <c r="M71" s="1622"/>
      <c r="N71" s="1622" t="s">
        <v>250</v>
      </c>
      <c r="O71" s="1622"/>
      <c r="P71" s="1622" t="s">
        <v>225</v>
      </c>
      <c r="Q71" s="1622"/>
      <c r="R71" s="1622" t="s">
        <v>226</v>
      </c>
      <c r="S71" s="1622"/>
      <c r="T71" s="1622" t="s">
        <v>250</v>
      </c>
      <c r="U71" s="1622"/>
      <c r="V71" s="3"/>
      <c r="W71" s="3"/>
      <c r="X71" s="3"/>
      <c r="Y71" s="3"/>
      <c r="Z71" s="79"/>
    </row>
    <row r="72" spans="1:26" ht="15" customHeight="1" x14ac:dyDescent="0.3">
      <c r="A72" s="3"/>
      <c r="B72" s="1549" t="s">
        <v>241</v>
      </c>
      <c r="C72" s="1549"/>
      <c r="D72" s="1549"/>
      <c r="E72" s="1549"/>
      <c r="F72" s="1549"/>
      <c r="G72" s="1549"/>
      <c r="H72" s="1549"/>
      <c r="I72" s="1549"/>
      <c r="J72" s="1617">
        <v>2.1000000000000001E-2</v>
      </c>
      <c r="K72" s="1618"/>
      <c r="L72" s="1617">
        <v>9.7000000000000003E-2</v>
      </c>
      <c r="M72" s="1618"/>
      <c r="N72" s="1617">
        <v>1.272</v>
      </c>
      <c r="O72" s="1618"/>
      <c r="P72" s="1617">
        <v>0.13700000000000001</v>
      </c>
      <c r="Q72" s="1618"/>
      <c r="R72" s="1617">
        <v>0.193</v>
      </c>
      <c r="S72" s="1618"/>
      <c r="T72" s="1617">
        <v>1.321</v>
      </c>
      <c r="U72" s="1618"/>
      <c r="V72" s="3"/>
      <c r="W72" s="3"/>
      <c r="X72" s="3"/>
      <c r="Y72" s="3"/>
      <c r="Z72" s="79"/>
    </row>
    <row r="73" spans="1:26" ht="15" customHeight="1" x14ac:dyDescent="0.3">
      <c r="A73" s="3"/>
      <c r="B73" s="1549" t="s">
        <v>242</v>
      </c>
      <c r="C73" s="1549"/>
      <c r="D73" s="1549"/>
      <c r="E73" s="1549"/>
      <c r="F73" s="1549"/>
      <c r="G73" s="1549"/>
      <c r="H73" s="1549"/>
      <c r="I73" s="1549"/>
      <c r="J73" s="1617">
        <v>2.4E-2</v>
      </c>
      <c r="K73" s="1618"/>
      <c r="L73" s="1617">
        <v>8.6999999999999994E-2</v>
      </c>
      <c r="M73" s="1618"/>
      <c r="N73" s="1617">
        <v>1.18</v>
      </c>
      <c r="O73" s="1618"/>
      <c r="P73" s="1617">
        <v>5.1999999999999998E-2</v>
      </c>
      <c r="Q73" s="1618"/>
      <c r="R73" s="1617">
        <v>8.1000000000000003E-2</v>
      </c>
      <c r="S73" s="1618"/>
      <c r="T73" s="1617">
        <v>1.278</v>
      </c>
      <c r="U73" s="1618"/>
      <c r="V73" s="3"/>
      <c r="W73" s="3"/>
      <c r="X73" s="3"/>
      <c r="Y73" s="3"/>
      <c r="Z73" s="79"/>
    </row>
    <row r="74" spans="1:26" ht="15" customHeight="1" x14ac:dyDescent="0.3">
      <c r="A74" s="3"/>
      <c r="B74" s="1549" t="s">
        <v>244</v>
      </c>
      <c r="C74" s="1549"/>
      <c r="D74" s="1549"/>
      <c r="E74" s="1549"/>
      <c r="F74" s="1549"/>
      <c r="G74" s="1549"/>
      <c r="H74" s="1549"/>
      <c r="I74" s="1549"/>
      <c r="J74" s="1617">
        <v>2.1000000000000001E-2</v>
      </c>
      <c r="K74" s="1618"/>
      <c r="L74" s="1617">
        <v>9.7000000000000003E-2</v>
      </c>
      <c r="M74" s="1618"/>
      <c r="N74" s="1617">
        <v>1.272</v>
      </c>
      <c r="O74" s="1618"/>
      <c r="P74" s="1617">
        <v>0.13700000000000001</v>
      </c>
      <c r="Q74" s="1618"/>
      <c r="R74" s="1617">
        <v>0.193</v>
      </c>
      <c r="S74" s="1618"/>
      <c r="T74" s="1617">
        <v>1.321</v>
      </c>
      <c r="U74" s="1618"/>
      <c r="V74" s="3"/>
      <c r="W74" s="3"/>
      <c r="X74" s="3"/>
      <c r="Y74" s="3"/>
      <c r="Z74" s="79"/>
    </row>
    <row r="75" spans="1:26" ht="15" customHeight="1" x14ac:dyDescent="0.3">
      <c r="A75" s="3"/>
      <c r="B75" s="1549" t="s">
        <v>243</v>
      </c>
      <c r="C75" s="1549"/>
      <c r="D75" s="1549"/>
      <c r="E75" s="1549"/>
      <c r="F75" s="1549"/>
      <c r="G75" s="1549"/>
      <c r="H75" s="1549"/>
      <c r="I75" s="1549"/>
      <c r="J75" s="1617">
        <v>2.4E-2</v>
      </c>
      <c r="K75" s="1618"/>
      <c r="L75" s="1617">
        <v>8.6999999999999994E-2</v>
      </c>
      <c r="M75" s="1618"/>
      <c r="N75" s="1617">
        <v>1.18</v>
      </c>
      <c r="O75" s="1618"/>
      <c r="P75" s="1617">
        <v>5.1999999999999998E-2</v>
      </c>
      <c r="Q75" s="1618"/>
      <c r="R75" s="1617">
        <v>8.1000000000000003E-2</v>
      </c>
      <c r="S75" s="1618"/>
      <c r="T75" s="1617">
        <v>1.278</v>
      </c>
      <c r="U75" s="1618"/>
      <c r="V75" s="3"/>
      <c r="W75" s="3"/>
      <c r="X75" s="3"/>
      <c r="Y75" s="3"/>
      <c r="Z75" s="79"/>
    </row>
    <row r="76" spans="1:26" ht="15" customHeight="1" x14ac:dyDescent="0.3">
      <c r="A76" s="3"/>
      <c r="B76" s="1693" t="s">
        <v>245</v>
      </c>
      <c r="C76" s="1693"/>
      <c r="D76" s="1693"/>
      <c r="E76" s="1693"/>
      <c r="F76" s="1693"/>
      <c r="G76" s="1693"/>
      <c r="H76" s="1693"/>
      <c r="I76" s="1693"/>
      <c r="J76" s="1688">
        <v>2.1000000000000001E-2</v>
      </c>
      <c r="K76" s="1689"/>
      <c r="L76" s="1688">
        <v>9.7000000000000003E-2</v>
      </c>
      <c r="M76" s="1689"/>
      <c r="N76" s="1688">
        <v>1.272</v>
      </c>
      <c r="O76" s="1689"/>
      <c r="P76" s="1688" t="s">
        <v>74</v>
      </c>
      <c r="Q76" s="1689"/>
      <c r="R76" s="1688" t="s">
        <v>74</v>
      </c>
      <c r="S76" s="1689"/>
      <c r="T76" s="1688" t="s">
        <v>74</v>
      </c>
      <c r="U76" s="1689"/>
      <c r="V76" s="3"/>
      <c r="W76" s="3"/>
      <c r="X76" s="3"/>
      <c r="Y76" s="3"/>
      <c r="Z76" s="79"/>
    </row>
    <row r="77" spans="1:26" ht="14.4" customHeight="1" x14ac:dyDescent="0.3">
      <c r="A77" s="79"/>
      <c r="B77" s="1"/>
      <c r="C77" s="1"/>
      <c r="D77" s="1"/>
      <c r="E77" s="1"/>
      <c r="F77" s="1"/>
      <c r="G77" s="1"/>
      <c r="H77" s="1"/>
      <c r="I77" s="1"/>
      <c r="J77" s="1"/>
      <c r="K77" s="1"/>
      <c r="L77" s="1"/>
      <c r="M77" s="1"/>
      <c r="N77" s="1"/>
      <c r="O77" s="1"/>
      <c r="P77" s="1"/>
      <c r="Q77" s="1"/>
      <c r="R77" s="1"/>
      <c r="S77" s="1"/>
      <c r="T77" s="1"/>
      <c r="U77" s="1"/>
      <c r="V77" s="79"/>
      <c r="W77" s="79"/>
      <c r="X77" s="79"/>
      <c r="Y77" s="79"/>
      <c r="Z77" s="79"/>
    </row>
    <row r="78" spans="1:26" ht="1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79"/>
    </row>
    <row r="79" spans="1:26" ht="1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79"/>
    </row>
    <row r="80" spans="1:26" ht="1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79"/>
    </row>
    <row r="81" spans="1:26" ht="1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79"/>
    </row>
    <row r="82" spans="1:26" ht="1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79"/>
    </row>
    <row r="83" spans="1:26" ht="1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79"/>
    </row>
    <row r="84" spans="1:26" ht="1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79"/>
    </row>
    <row r="85" spans="1:26" ht="1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79"/>
    </row>
    <row r="86" spans="1:26" ht="1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79"/>
    </row>
    <row r="87" spans="1:26" ht="1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79"/>
    </row>
    <row r="88" spans="1:26" ht="1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79"/>
    </row>
    <row r="89" spans="1:26" ht="1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79"/>
    </row>
    <row r="90" spans="1:26" ht="1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79"/>
    </row>
    <row r="91" spans="1:26" ht="1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79"/>
    </row>
    <row r="92" spans="1:26" ht="1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79"/>
    </row>
    <row r="93" spans="1:26" ht="1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79"/>
    </row>
    <row r="94" spans="1:26" ht="1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79"/>
    </row>
    <row r="95" spans="1:26" ht="1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79"/>
    </row>
    <row r="96" spans="1:26" ht="15" customHeight="1"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3">
      <c r="A98" s="3"/>
      <c r="B98" s="26" t="s">
        <v>256</v>
      </c>
      <c r="C98" s="256"/>
      <c r="D98" s="3"/>
      <c r="E98" s="3"/>
      <c r="F98" s="3"/>
      <c r="G98" s="3"/>
      <c r="H98" s="3"/>
      <c r="I98" s="3"/>
      <c r="J98" s="3"/>
      <c r="K98" s="3"/>
      <c r="L98" s="3"/>
      <c r="M98" s="3"/>
      <c r="N98" s="3"/>
      <c r="O98" s="3"/>
      <c r="P98" s="3"/>
      <c r="Q98" s="3"/>
      <c r="R98" s="3"/>
      <c r="S98" s="3"/>
      <c r="T98" s="3"/>
      <c r="U98" s="3"/>
      <c r="V98" s="3"/>
      <c r="W98" s="3"/>
      <c r="X98" s="3"/>
      <c r="Y98" s="3"/>
      <c r="Z98" s="79"/>
    </row>
    <row r="99" spans="1:26" ht="15" customHeight="1" x14ac:dyDescent="0.3">
      <c r="A99" s="3"/>
      <c r="B99" s="1630" t="s">
        <v>15</v>
      </c>
      <c r="C99" s="1631"/>
      <c r="D99" s="1631"/>
      <c r="E99" s="1631"/>
      <c r="F99" s="1631"/>
      <c r="G99" s="1632"/>
      <c r="H99" s="1694" t="s">
        <v>229</v>
      </c>
      <c r="I99" s="1695"/>
      <c r="J99" s="1623" t="s">
        <v>255</v>
      </c>
      <c r="K99" s="1623"/>
      <c r="L99" s="1623"/>
      <c r="M99" s="1623"/>
      <c r="N99" s="1623"/>
      <c r="O99" s="1623"/>
      <c r="P99" s="1623"/>
      <c r="Q99" s="1623"/>
      <c r="R99" s="3"/>
      <c r="S99" s="3"/>
      <c r="T99" s="3"/>
      <c r="U99" s="3"/>
      <c r="V99" s="3"/>
      <c r="W99" s="3"/>
      <c r="X99" s="3"/>
      <c r="Y99" s="3"/>
      <c r="Z99" s="79"/>
    </row>
    <row r="100" spans="1:26" ht="15" customHeight="1" x14ac:dyDescent="0.3">
      <c r="A100" s="3"/>
      <c r="B100" s="1633"/>
      <c r="C100" s="1634"/>
      <c r="D100" s="1634"/>
      <c r="E100" s="1634"/>
      <c r="F100" s="1634"/>
      <c r="G100" s="1635"/>
      <c r="H100" s="1661"/>
      <c r="I100" s="1659"/>
      <c r="J100" s="1623"/>
      <c r="K100" s="1623"/>
      <c r="L100" s="1623"/>
      <c r="M100" s="1623"/>
      <c r="N100" s="1623"/>
      <c r="O100" s="1623"/>
      <c r="P100" s="1623"/>
      <c r="Q100" s="1623"/>
      <c r="R100" s="3"/>
      <c r="S100" s="3"/>
      <c r="T100" s="3"/>
      <c r="U100" s="3"/>
      <c r="V100" s="3"/>
      <c r="W100" s="3"/>
      <c r="X100" s="3"/>
      <c r="Y100" s="3"/>
      <c r="Z100" s="79"/>
    </row>
    <row r="101" spans="1:26" ht="15" customHeight="1" x14ac:dyDescent="0.3">
      <c r="A101" s="3"/>
      <c r="B101" s="1690" t="s">
        <v>28</v>
      </c>
      <c r="C101" s="1691"/>
      <c r="D101" s="1691"/>
      <c r="E101" s="1691"/>
      <c r="F101" s="1691"/>
      <c r="G101" s="1692"/>
      <c r="H101" s="1636">
        <v>1</v>
      </c>
      <c r="I101" s="1638"/>
      <c r="J101" s="1686">
        <v>0.95599999999999996</v>
      </c>
      <c r="K101" s="1686"/>
      <c r="L101" s="1686"/>
      <c r="M101" s="1686"/>
      <c r="N101" s="1686"/>
      <c r="O101" s="1686"/>
      <c r="P101" s="1686"/>
      <c r="Q101" s="1686"/>
      <c r="R101" s="3"/>
      <c r="S101" s="3"/>
      <c r="T101" s="3"/>
      <c r="U101" s="3"/>
      <c r="V101" s="3"/>
      <c r="W101" s="3"/>
      <c r="X101" s="3"/>
      <c r="Y101" s="3"/>
      <c r="Z101" s="79"/>
    </row>
    <row r="102" spans="1:26" ht="15" customHeight="1" x14ac:dyDescent="0.3">
      <c r="A102" s="3"/>
      <c r="B102" s="1690" t="s">
        <v>240</v>
      </c>
      <c r="C102" s="1691"/>
      <c r="D102" s="1691"/>
      <c r="E102" s="1691"/>
      <c r="F102" s="1691"/>
      <c r="G102" s="1691"/>
      <c r="H102" s="1691"/>
      <c r="I102" s="1692"/>
      <c r="J102" s="1622" t="s">
        <v>247</v>
      </c>
      <c r="K102" s="1622"/>
      <c r="L102" s="1622"/>
      <c r="M102" s="1622"/>
      <c r="N102" s="1622" t="s">
        <v>248</v>
      </c>
      <c r="O102" s="1622"/>
      <c r="P102" s="1622"/>
      <c r="Q102" s="1622"/>
      <c r="R102" s="3"/>
      <c r="S102" s="3"/>
      <c r="T102" s="3"/>
      <c r="U102" s="3"/>
      <c r="V102" s="3"/>
      <c r="W102" s="3"/>
      <c r="X102" s="3"/>
      <c r="Y102" s="3"/>
      <c r="Z102" s="79"/>
    </row>
    <row r="103" spans="1:26" ht="15" customHeight="1" x14ac:dyDescent="0.3">
      <c r="A103" s="3"/>
      <c r="B103" s="1690" t="s">
        <v>241</v>
      </c>
      <c r="C103" s="1691"/>
      <c r="D103" s="1691"/>
      <c r="E103" s="1691"/>
      <c r="F103" s="1691"/>
      <c r="G103" s="1692"/>
      <c r="H103" s="1636">
        <v>4</v>
      </c>
      <c r="I103" s="1638"/>
      <c r="J103" s="1687">
        <v>0.95899999999999996</v>
      </c>
      <c r="K103" s="1687"/>
      <c r="L103" s="1687"/>
      <c r="M103" s="1687"/>
      <c r="N103" s="1687">
        <v>0.95499999999999996</v>
      </c>
      <c r="O103" s="1687"/>
      <c r="P103" s="1687"/>
      <c r="Q103" s="1687"/>
      <c r="R103" s="3"/>
      <c r="S103" s="3"/>
      <c r="T103" s="3"/>
      <c r="U103" s="3"/>
      <c r="V103" s="3"/>
      <c r="W103" s="3"/>
      <c r="X103" s="3"/>
      <c r="Y103" s="3"/>
      <c r="Z103" s="79"/>
    </row>
    <row r="104" spans="1:26" ht="15" customHeight="1" x14ac:dyDescent="0.3">
      <c r="A104" s="3"/>
      <c r="B104" s="1690" t="s">
        <v>244</v>
      </c>
      <c r="C104" s="1691"/>
      <c r="D104" s="1691"/>
      <c r="E104" s="1691"/>
      <c r="F104" s="1691"/>
      <c r="G104" s="1692"/>
      <c r="H104" s="1636">
        <v>5</v>
      </c>
      <c r="I104" s="1638"/>
      <c r="J104" s="1687">
        <v>0.95899999999999996</v>
      </c>
      <c r="K104" s="1687"/>
      <c r="L104" s="1687"/>
      <c r="M104" s="1687"/>
      <c r="N104" s="1687">
        <v>0.95499999999999996</v>
      </c>
      <c r="O104" s="1687"/>
      <c r="P104" s="1687"/>
      <c r="Q104" s="1687"/>
      <c r="R104" s="3"/>
      <c r="S104" s="3"/>
      <c r="T104" s="3"/>
      <c r="U104" s="3"/>
      <c r="V104" s="3"/>
      <c r="W104" s="3"/>
      <c r="X104" s="3"/>
      <c r="Y104" s="3"/>
      <c r="Z104" s="79"/>
    </row>
    <row r="105" spans="1:26" ht="15" customHeight="1" x14ac:dyDescent="0.3">
      <c r="A105" s="3"/>
      <c r="B105" s="1690" t="s">
        <v>245</v>
      </c>
      <c r="C105" s="1691"/>
      <c r="D105" s="1691"/>
      <c r="E105" s="1691"/>
      <c r="F105" s="1691"/>
      <c r="G105" s="1692"/>
      <c r="H105" s="1636">
        <v>8</v>
      </c>
      <c r="I105" s="1638"/>
      <c r="J105" s="1687">
        <v>0.95899999999999996</v>
      </c>
      <c r="K105" s="1687"/>
      <c r="L105" s="1687"/>
      <c r="M105" s="1687"/>
      <c r="N105" s="1687">
        <v>0.95499999999999996</v>
      </c>
      <c r="O105" s="1687"/>
      <c r="P105" s="1687"/>
      <c r="Q105" s="1687"/>
      <c r="R105" s="3"/>
      <c r="S105" s="3"/>
      <c r="T105" s="3"/>
      <c r="U105" s="3"/>
      <c r="V105" s="3"/>
      <c r="W105" s="3"/>
      <c r="X105" s="3"/>
      <c r="Y105" s="3"/>
      <c r="Z105" s="79"/>
    </row>
    <row r="106" spans="1:26" ht="15" customHeight="1" x14ac:dyDescent="0.3">
      <c r="A106" s="3"/>
      <c r="B106" s="1690" t="s">
        <v>242</v>
      </c>
      <c r="C106" s="1691"/>
      <c r="D106" s="1691"/>
      <c r="E106" s="1691"/>
      <c r="F106" s="1691"/>
      <c r="G106" s="1692"/>
      <c r="H106" s="1636">
        <v>10</v>
      </c>
      <c r="I106" s="1638"/>
      <c r="J106" s="1687">
        <v>0.96699999999999997</v>
      </c>
      <c r="K106" s="1687"/>
      <c r="L106" s="1687"/>
      <c r="M106" s="1687"/>
      <c r="N106" s="1687">
        <v>0.95599999999999996</v>
      </c>
      <c r="O106" s="1687"/>
      <c r="P106" s="1687"/>
      <c r="Q106" s="1687"/>
      <c r="R106" s="3"/>
      <c r="S106" s="3"/>
      <c r="T106" s="3"/>
      <c r="U106" s="3"/>
      <c r="V106" s="3"/>
      <c r="W106" s="3"/>
      <c r="X106" s="3"/>
      <c r="Y106" s="3"/>
      <c r="Z106" s="79"/>
    </row>
    <row r="107" spans="1:26" ht="15" customHeight="1" x14ac:dyDescent="0.3">
      <c r="A107" s="3"/>
      <c r="B107" s="1690" t="s">
        <v>243</v>
      </c>
      <c r="C107" s="1691"/>
      <c r="D107" s="1691"/>
      <c r="E107" s="1691"/>
      <c r="F107" s="1691"/>
      <c r="G107" s="1692"/>
      <c r="H107" s="1636">
        <v>11</v>
      </c>
      <c r="I107" s="1638"/>
      <c r="J107" s="1687">
        <v>0.95899999999999996</v>
      </c>
      <c r="K107" s="1687"/>
      <c r="L107" s="1687"/>
      <c r="M107" s="1687"/>
      <c r="N107" s="1687">
        <v>0.95499999999999996</v>
      </c>
      <c r="O107" s="1687"/>
      <c r="P107" s="1687"/>
      <c r="Q107" s="1687"/>
      <c r="R107" s="3"/>
      <c r="S107" s="3"/>
      <c r="T107" s="3"/>
      <c r="U107" s="3"/>
      <c r="V107" s="3"/>
      <c r="W107" s="3"/>
      <c r="X107" s="3"/>
      <c r="Y107" s="3"/>
      <c r="Z107" s="79"/>
    </row>
    <row r="108" spans="1:26" ht="15" customHeight="1" x14ac:dyDescent="0.3">
      <c r="A108" s="3"/>
      <c r="B108" s="1630" t="s">
        <v>15</v>
      </c>
      <c r="C108" s="1631"/>
      <c r="D108" s="1631"/>
      <c r="E108" s="1631"/>
      <c r="F108" s="1631"/>
      <c r="G108" s="1632"/>
      <c r="H108" s="1694" t="s">
        <v>229</v>
      </c>
      <c r="I108" s="1695"/>
      <c r="J108" s="1679" t="s">
        <v>257</v>
      </c>
      <c r="K108" s="1623"/>
      <c r="L108" s="1623"/>
      <c r="M108" s="1623"/>
      <c r="N108" s="1623"/>
      <c r="O108" s="1623"/>
      <c r="P108" s="1623"/>
      <c r="Q108" s="1623"/>
      <c r="R108" s="3"/>
      <c r="S108" s="3"/>
      <c r="T108" s="3"/>
      <c r="U108" s="3"/>
      <c r="V108" s="3"/>
      <c r="W108" s="3"/>
      <c r="X108" s="3"/>
      <c r="Y108" s="3"/>
      <c r="Z108" s="79"/>
    </row>
    <row r="109" spans="1:26" ht="15" customHeight="1" x14ac:dyDescent="0.3">
      <c r="A109" s="3"/>
      <c r="B109" s="1633"/>
      <c r="C109" s="1634"/>
      <c r="D109" s="1634"/>
      <c r="E109" s="1634"/>
      <c r="F109" s="1634"/>
      <c r="G109" s="1635"/>
      <c r="H109" s="1661"/>
      <c r="I109" s="1659"/>
      <c r="J109" s="1623"/>
      <c r="K109" s="1623"/>
      <c r="L109" s="1623"/>
      <c r="M109" s="1623"/>
      <c r="N109" s="1623"/>
      <c r="O109" s="1623"/>
      <c r="P109" s="1623"/>
      <c r="Q109" s="1623"/>
      <c r="R109" s="3"/>
      <c r="S109" s="3"/>
      <c r="T109" s="3"/>
      <c r="U109" s="3"/>
      <c r="V109" s="3"/>
      <c r="W109" s="3"/>
      <c r="X109" s="3"/>
      <c r="Y109" s="3"/>
      <c r="Z109" s="79"/>
    </row>
    <row r="110" spans="1:26" ht="15" customHeight="1" x14ac:dyDescent="0.3">
      <c r="A110" s="3"/>
      <c r="B110" s="1690" t="s">
        <v>28</v>
      </c>
      <c r="C110" s="1691"/>
      <c r="D110" s="1691"/>
      <c r="E110" s="1691"/>
      <c r="F110" s="1691"/>
      <c r="G110" s="1692"/>
      <c r="H110" s="1636">
        <v>1</v>
      </c>
      <c r="I110" s="1638"/>
      <c r="J110" s="1686" t="s">
        <v>258</v>
      </c>
      <c r="K110" s="1686"/>
      <c r="L110" s="1686"/>
      <c r="M110" s="1686"/>
      <c r="N110" s="1686"/>
      <c r="O110" s="1686"/>
      <c r="P110" s="1686"/>
      <c r="Q110" s="1686"/>
      <c r="R110" s="3"/>
      <c r="S110" s="3"/>
      <c r="T110" s="3"/>
      <c r="U110" s="3"/>
      <c r="V110" s="3"/>
      <c r="W110" s="3"/>
      <c r="X110" s="3"/>
      <c r="Y110" s="3"/>
      <c r="Z110" s="79"/>
    </row>
    <row r="111" spans="1:26" ht="15" customHeight="1" x14ac:dyDescent="0.3">
      <c r="A111" s="3"/>
      <c r="B111" s="1690" t="s">
        <v>240</v>
      </c>
      <c r="C111" s="1691"/>
      <c r="D111" s="1691"/>
      <c r="E111" s="1691"/>
      <c r="F111" s="1691"/>
      <c r="G111" s="1691"/>
      <c r="H111" s="1691"/>
      <c r="I111" s="1692"/>
      <c r="J111" s="1622" t="s">
        <v>247</v>
      </c>
      <c r="K111" s="1622"/>
      <c r="L111" s="1622"/>
      <c r="M111" s="1622"/>
      <c r="N111" s="1622" t="s">
        <v>248</v>
      </c>
      <c r="O111" s="1622"/>
      <c r="P111" s="1622"/>
      <c r="Q111" s="1622"/>
      <c r="R111" s="3"/>
      <c r="S111" s="3"/>
      <c r="T111" s="3"/>
      <c r="U111" s="3"/>
      <c r="V111" s="3"/>
      <c r="W111" s="3"/>
      <c r="X111" s="3"/>
      <c r="Y111" s="3"/>
      <c r="Z111" s="79"/>
    </row>
    <row r="112" spans="1:26" ht="15" customHeight="1" x14ac:dyDescent="0.3">
      <c r="A112" s="3"/>
      <c r="B112" s="1690" t="s">
        <v>241</v>
      </c>
      <c r="C112" s="1691"/>
      <c r="D112" s="1691"/>
      <c r="E112" s="1691"/>
      <c r="F112" s="1691"/>
      <c r="G112" s="1692"/>
      <c r="H112" s="1636">
        <v>4</v>
      </c>
      <c r="I112" s="1638"/>
      <c r="J112" s="1687" t="s">
        <v>259</v>
      </c>
      <c r="K112" s="1687"/>
      <c r="L112" s="1687"/>
      <c r="M112" s="1687"/>
      <c r="N112" s="1687" t="s">
        <v>262</v>
      </c>
      <c r="O112" s="1687"/>
      <c r="P112" s="1687"/>
      <c r="Q112" s="1687"/>
      <c r="R112" s="3"/>
      <c r="S112" s="3"/>
      <c r="T112" s="3"/>
      <c r="U112" s="3"/>
      <c r="V112" s="3"/>
      <c r="W112" s="3"/>
      <c r="X112" s="3"/>
      <c r="Y112" s="3"/>
      <c r="Z112" s="79"/>
    </row>
    <row r="113" spans="1:26" ht="15" customHeight="1" x14ac:dyDescent="0.3">
      <c r="A113" s="3"/>
      <c r="B113" s="1690" t="s">
        <v>244</v>
      </c>
      <c r="C113" s="1691"/>
      <c r="D113" s="1691"/>
      <c r="E113" s="1691"/>
      <c r="F113" s="1691"/>
      <c r="G113" s="1692"/>
      <c r="H113" s="1636">
        <v>5</v>
      </c>
      <c r="I113" s="1638"/>
      <c r="J113" s="1687" t="s">
        <v>259</v>
      </c>
      <c r="K113" s="1687"/>
      <c r="L113" s="1687"/>
      <c r="M113" s="1687"/>
      <c r="N113" s="1687" t="s">
        <v>262</v>
      </c>
      <c r="O113" s="1687"/>
      <c r="P113" s="1687"/>
      <c r="Q113" s="1687"/>
      <c r="R113" s="3"/>
      <c r="S113" s="3"/>
      <c r="T113" s="3"/>
      <c r="U113" s="3"/>
      <c r="V113" s="3"/>
      <c r="W113" s="3"/>
      <c r="X113" s="3"/>
      <c r="Y113" s="3"/>
      <c r="Z113" s="79"/>
    </row>
    <row r="114" spans="1:26" ht="15" customHeight="1" x14ac:dyDescent="0.3">
      <c r="A114" s="3"/>
      <c r="B114" s="1690" t="s">
        <v>245</v>
      </c>
      <c r="C114" s="1691"/>
      <c r="D114" s="1691"/>
      <c r="E114" s="1691"/>
      <c r="F114" s="1691"/>
      <c r="G114" s="1692"/>
      <c r="H114" s="1636">
        <v>8</v>
      </c>
      <c r="I114" s="1638"/>
      <c r="J114" s="1687" t="s">
        <v>259</v>
      </c>
      <c r="K114" s="1687"/>
      <c r="L114" s="1687"/>
      <c r="M114" s="1687"/>
      <c r="N114" s="1687" t="s">
        <v>262</v>
      </c>
      <c r="O114" s="1687"/>
      <c r="P114" s="1687"/>
      <c r="Q114" s="1687"/>
      <c r="R114" s="3"/>
      <c r="S114" s="3"/>
      <c r="T114" s="3"/>
      <c r="U114" s="3"/>
      <c r="V114" s="3"/>
      <c r="W114" s="3"/>
      <c r="X114" s="3"/>
      <c r="Y114" s="3"/>
      <c r="Z114" s="79"/>
    </row>
    <row r="115" spans="1:26" ht="15" customHeight="1" x14ac:dyDescent="0.3">
      <c r="A115" s="3"/>
      <c r="B115" s="1690" t="s">
        <v>242</v>
      </c>
      <c r="C115" s="1691"/>
      <c r="D115" s="1691"/>
      <c r="E115" s="1691"/>
      <c r="F115" s="1691"/>
      <c r="G115" s="1692"/>
      <c r="H115" s="1636">
        <v>10</v>
      </c>
      <c r="I115" s="1638"/>
      <c r="J115" s="1687" t="s">
        <v>260</v>
      </c>
      <c r="K115" s="1687"/>
      <c r="L115" s="1687"/>
      <c r="M115" s="1687"/>
      <c r="N115" s="1687" t="s">
        <v>263</v>
      </c>
      <c r="O115" s="1687"/>
      <c r="P115" s="1687"/>
      <c r="Q115" s="1687"/>
      <c r="R115" s="3"/>
      <c r="S115" s="3"/>
      <c r="T115" s="3"/>
      <c r="U115" s="3"/>
      <c r="V115" s="3"/>
      <c r="W115" s="3"/>
      <c r="X115" s="3"/>
      <c r="Y115" s="3"/>
      <c r="Z115" s="79"/>
    </row>
    <row r="116" spans="1:26" ht="15" customHeight="1" x14ac:dyDescent="0.3">
      <c r="A116" s="3"/>
      <c r="B116" s="1690" t="s">
        <v>243</v>
      </c>
      <c r="C116" s="1691"/>
      <c r="D116" s="1691"/>
      <c r="E116" s="1691"/>
      <c r="F116" s="1691"/>
      <c r="G116" s="1692"/>
      <c r="H116" s="1636">
        <v>11</v>
      </c>
      <c r="I116" s="1638"/>
      <c r="J116" s="1687" t="s">
        <v>261</v>
      </c>
      <c r="K116" s="1687"/>
      <c r="L116" s="1687"/>
      <c r="M116" s="1687"/>
      <c r="N116" s="1687" t="s">
        <v>262</v>
      </c>
      <c r="O116" s="1687"/>
      <c r="P116" s="1687"/>
      <c r="Q116" s="1687"/>
      <c r="R116" s="3"/>
      <c r="S116" s="3"/>
      <c r="T116" s="3"/>
      <c r="U116" s="3"/>
      <c r="V116" s="3"/>
      <c r="W116" s="3"/>
      <c r="X116" s="3"/>
      <c r="Y116" s="3"/>
      <c r="Z116" s="79"/>
    </row>
    <row r="117" spans="1:26" ht="1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79"/>
    </row>
    <row r="118" spans="1:26" ht="1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79"/>
    </row>
    <row r="119" spans="1:26" ht="1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79"/>
    </row>
    <row r="120" spans="1:26" ht="1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79"/>
    </row>
    <row r="121" spans="1:26" ht="1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79"/>
    </row>
    <row r="122" spans="1:26" ht="1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79"/>
    </row>
    <row r="123" spans="1:26" ht="1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79"/>
    </row>
    <row r="124" spans="1:26" ht="1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79"/>
    </row>
    <row r="125" spans="1:26" ht="15" customHeight="1" x14ac:dyDescent="0.3">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ht="15" customHeight="1" x14ac:dyDescent="0.3">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ht="15" customHeight="1" x14ac:dyDescent="0.3">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ht="15" customHeight="1" x14ac:dyDescent="0.3">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sheetData>
  <mergeCells count="253">
    <mergeCell ref="B115:G115"/>
    <mergeCell ref="H115:I115"/>
    <mergeCell ref="J115:M115"/>
    <mergeCell ref="N115:Q115"/>
    <mergeCell ref="B116:G116"/>
    <mergeCell ref="H116:I116"/>
    <mergeCell ref="J116:M116"/>
    <mergeCell ref="N116:Q116"/>
    <mergeCell ref="B113:G113"/>
    <mergeCell ref="H113:I113"/>
    <mergeCell ref="J113:M113"/>
    <mergeCell ref="N113:Q113"/>
    <mergeCell ref="B114:G114"/>
    <mergeCell ref="H114:I114"/>
    <mergeCell ref="J114:M114"/>
    <mergeCell ref="N114:Q114"/>
    <mergeCell ref="B111:I111"/>
    <mergeCell ref="J111:M111"/>
    <mergeCell ref="N111:Q111"/>
    <mergeCell ref="B112:G112"/>
    <mergeCell ref="H112:I112"/>
    <mergeCell ref="J112:M112"/>
    <mergeCell ref="N112:Q112"/>
    <mergeCell ref="B108:G109"/>
    <mergeCell ref="H108:I109"/>
    <mergeCell ref="J108:Q109"/>
    <mergeCell ref="B110:G110"/>
    <mergeCell ref="H110:I110"/>
    <mergeCell ref="J110:Q110"/>
    <mergeCell ref="H103:I103"/>
    <mergeCell ref="H104:I104"/>
    <mergeCell ref="J106:M106"/>
    <mergeCell ref="N106:Q106"/>
    <mergeCell ref="J107:M107"/>
    <mergeCell ref="N107:Q107"/>
    <mergeCell ref="B106:G106"/>
    <mergeCell ref="B107:G107"/>
    <mergeCell ref="H106:I106"/>
    <mergeCell ref="H107:I107"/>
    <mergeCell ref="J104:M104"/>
    <mergeCell ref="N104:Q104"/>
    <mergeCell ref="J105:M105"/>
    <mergeCell ref="N105:Q105"/>
    <mergeCell ref="B105:G105"/>
    <mergeCell ref="B104:G104"/>
    <mergeCell ref="H105:I105"/>
    <mergeCell ref="J103:M103"/>
    <mergeCell ref="N103:Q103"/>
    <mergeCell ref="B103:G103"/>
    <mergeCell ref="T76:U76"/>
    <mergeCell ref="J99:Q100"/>
    <mergeCell ref="J101:Q101"/>
    <mergeCell ref="B102:I102"/>
    <mergeCell ref="J102:M102"/>
    <mergeCell ref="N102:Q102"/>
    <mergeCell ref="B101:G101"/>
    <mergeCell ref="B76:I76"/>
    <mergeCell ref="J76:K76"/>
    <mergeCell ref="L76:M76"/>
    <mergeCell ref="N76:O76"/>
    <mergeCell ref="P76:Q76"/>
    <mergeCell ref="R76:S76"/>
    <mergeCell ref="B99:G100"/>
    <mergeCell ref="H99:I100"/>
    <mergeCell ref="H101:I101"/>
    <mergeCell ref="T74:U74"/>
    <mergeCell ref="B75:I75"/>
    <mergeCell ref="J75:K75"/>
    <mergeCell ref="L75:M75"/>
    <mergeCell ref="N75:O75"/>
    <mergeCell ref="P75:Q75"/>
    <mergeCell ref="R75:S75"/>
    <mergeCell ref="T75:U75"/>
    <mergeCell ref="B74:I74"/>
    <mergeCell ref="J74:K74"/>
    <mergeCell ref="L74:M74"/>
    <mergeCell ref="N74:O74"/>
    <mergeCell ref="P74:Q74"/>
    <mergeCell ref="R74:S74"/>
    <mergeCell ref="T72:U72"/>
    <mergeCell ref="B73:I73"/>
    <mergeCell ref="J73:K73"/>
    <mergeCell ref="L73:M73"/>
    <mergeCell ref="N73:O73"/>
    <mergeCell ref="P73:Q73"/>
    <mergeCell ref="R73:S73"/>
    <mergeCell ref="T73:U73"/>
    <mergeCell ref="B72:I72"/>
    <mergeCell ref="J72:K72"/>
    <mergeCell ref="L72:M72"/>
    <mergeCell ref="N72:O72"/>
    <mergeCell ref="P72:Q72"/>
    <mergeCell ref="R72:S72"/>
    <mergeCell ref="B70:I70"/>
    <mergeCell ref="J70:O70"/>
    <mergeCell ref="P70:U70"/>
    <mergeCell ref="B71:I71"/>
    <mergeCell ref="J71:K71"/>
    <mergeCell ref="L71:M71"/>
    <mergeCell ref="N71:O71"/>
    <mergeCell ref="P71:Q71"/>
    <mergeCell ref="R71:S71"/>
    <mergeCell ref="T71:U71"/>
    <mergeCell ref="B67:I68"/>
    <mergeCell ref="J67:U67"/>
    <mergeCell ref="J68:M68"/>
    <mergeCell ref="N68:Q68"/>
    <mergeCell ref="R68:U68"/>
    <mergeCell ref="B69:I69"/>
    <mergeCell ref="J69:M69"/>
    <mergeCell ref="N69:Q69"/>
    <mergeCell ref="R69:U69"/>
    <mergeCell ref="J56:K56"/>
    <mergeCell ref="L56:M56"/>
    <mergeCell ref="N56:O56"/>
    <mergeCell ref="P56:Q56"/>
    <mergeCell ref="R56:S56"/>
    <mergeCell ref="T56:U56"/>
    <mergeCell ref="J55:K55"/>
    <mergeCell ref="L55:M55"/>
    <mergeCell ref="N55:O55"/>
    <mergeCell ref="P55:Q55"/>
    <mergeCell ref="R55:S55"/>
    <mergeCell ref="T55:U55"/>
    <mergeCell ref="P52:Q52"/>
    <mergeCell ref="R52:S52"/>
    <mergeCell ref="T52:U52"/>
    <mergeCell ref="J50:O50"/>
    <mergeCell ref="P50:U50"/>
    <mergeCell ref="R49:U49"/>
    <mergeCell ref="J49:M49"/>
    <mergeCell ref="J54:K54"/>
    <mergeCell ref="L54:M54"/>
    <mergeCell ref="N54:O54"/>
    <mergeCell ref="P54:Q54"/>
    <mergeCell ref="R54:S54"/>
    <mergeCell ref="T54:U54"/>
    <mergeCell ref="J53:K53"/>
    <mergeCell ref="L53:M53"/>
    <mergeCell ref="N53:O53"/>
    <mergeCell ref="P53:Q53"/>
    <mergeCell ref="R53:S53"/>
    <mergeCell ref="T53:U53"/>
    <mergeCell ref="J47:U47"/>
    <mergeCell ref="B55:I55"/>
    <mergeCell ref="B56:I56"/>
    <mergeCell ref="B53:I53"/>
    <mergeCell ref="B54:I54"/>
    <mergeCell ref="B51:I51"/>
    <mergeCell ref="B52:I52"/>
    <mergeCell ref="N44:Q44"/>
    <mergeCell ref="B47:I48"/>
    <mergeCell ref="B49:I49"/>
    <mergeCell ref="B50:I50"/>
    <mergeCell ref="J48:M48"/>
    <mergeCell ref="R48:U48"/>
    <mergeCell ref="J51:K51"/>
    <mergeCell ref="L51:M51"/>
    <mergeCell ref="N51:O51"/>
    <mergeCell ref="P51:Q51"/>
    <mergeCell ref="R51:S51"/>
    <mergeCell ref="T51:U51"/>
    <mergeCell ref="N49:Q49"/>
    <mergeCell ref="N48:Q48"/>
    <mergeCell ref="J52:K52"/>
    <mergeCell ref="L52:M52"/>
    <mergeCell ref="N52:O52"/>
    <mergeCell ref="N38:Q38"/>
    <mergeCell ref="N39:Q39"/>
    <mergeCell ref="N40:Q40"/>
    <mergeCell ref="N41:Q41"/>
    <mergeCell ref="N42:Q42"/>
    <mergeCell ref="N43:Q43"/>
    <mergeCell ref="B44:I44"/>
    <mergeCell ref="J38:M38"/>
    <mergeCell ref="J39:M39"/>
    <mergeCell ref="J40:M40"/>
    <mergeCell ref="J41:M41"/>
    <mergeCell ref="J42:M42"/>
    <mergeCell ref="J43:M43"/>
    <mergeCell ref="J44:M44"/>
    <mergeCell ref="B38:I38"/>
    <mergeCell ref="B39:I39"/>
    <mergeCell ref="B40:I40"/>
    <mergeCell ref="B41:I41"/>
    <mergeCell ref="B42:I42"/>
    <mergeCell ref="B43:I43"/>
    <mergeCell ref="B31:I31"/>
    <mergeCell ref="J31:Q31"/>
    <mergeCell ref="B35:I36"/>
    <mergeCell ref="J35:Q36"/>
    <mergeCell ref="B37:I37"/>
    <mergeCell ref="J37:Q37"/>
    <mergeCell ref="B28:I28"/>
    <mergeCell ref="J28:Q28"/>
    <mergeCell ref="B29:I29"/>
    <mergeCell ref="J29:Q29"/>
    <mergeCell ref="B30:I30"/>
    <mergeCell ref="J30:Q30"/>
    <mergeCell ref="B26:I27"/>
    <mergeCell ref="J26:Q27"/>
    <mergeCell ref="J19:Q19"/>
    <mergeCell ref="J20:Q20"/>
    <mergeCell ref="J21:Q21"/>
    <mergeCell ref="J22:Q22"/>
    <mergeCell ref="B17:I18"/>
    <mergeCell ref="J17:Q18"/>
    <mergeCell ref="B19:I19"/>
    <mergeCell ref="B20:I20"/>
    <mergeCell ref="B21:I21"/>
    <mergeCell ref="B22:I22"/>
    <mergeCell ref="N12:O12"/>
    <mergeCell ref="N13:O13"/>
    <mergeCell ref="P10:Q10"/>
    <mergeCell ref="P11:Q11"/>
    <mergeCell ref="P12:Q12"/>
    <mergeCell ref="P13:Q13"/>
    <mergeCell ref="J12:K12"/>
    <mergeCell ref="J13:K13"/>
    <mergeCell ref="L10:M10"/>
    <mergeCell ref="L11:M11"/>
    <mergeCell ref="L12:M12"/>
    <mergeCell ref="L13:M13"/>
    <mergeCell ref="F12:G12"/>
    <mergeCell ref="F13:G13"/>
    <mergeCell ref="H10:I10"/>
    <mergeCell ref="H11:I11"/>
    <mergeCell ref="H12:I12"/>
    <mergeCell ref="H13:I13"/>
    <mergeCell ref="B12:C12"/>
    <mergeCell ref="B13:C13"/>
    <mergeCell ref="D10:E10"/>
    <mergeCell ref="D11:E11"/>
    <mergeCell ref="D12:E12"/>
    <mergeCell ref="D13:E13"/>
    <mergeCell ref="N8:O9"/>
    <mergeCell ref="P7:Q9"/>
    <mergeCell ref="D7:I7"/>
    <mergeCell ref="J7:O7"/>
    <mergeCell ref="B10:C10"/>
    <mergeCell ref="B11:C11"/>
    <mergeCell ref="F10:G10"/>
    <mergeCell ref="F11:G11"/>
    <mergeCell ref="J10:K10"/>
    <mergeCell ref="J11:K11"/>
    <mergeCell ref="B7:C9"/>
    <mergeCell ref="D8:E9"/>
    <mergeCell ref="F8:G9"/>
    <mergeCell ref="H8:I9"/>
    <mergeCell ref="J8:K9"/>
    <mergeCell ref="L8:M9"/>
    <mergeCell ref="N10:O10"/>
    <mergeCell ref="N11:O11"/>
  </mergeCells>
  <dataValidations disablePrompts="1" count="4">
    <dataValidation allowBlank="1" showInputMessage="1" showErrorMessage="1" prompt="6° 17' 40.1424''" sqref="JP65525 TL65525 ADH65525 AND65525 AWZ65525 BGV65525 BQR65525 CAN65525 CKJ65525 CUF65525 DEB65525 DNX65525 DXT65525 EHP65525 ERL65525 FBH65525 FLD65525 FUZ65525 GEV65525 GOR65525 GYN65525 HIJ65525 HSF65525 ICB65525 ILX65525 IVT65525 JFP65525 JPL65525 JZH65525 KJD65525 KSZ65525 LCV65525 LMR65525 LWN65525 MGJ65525 MQF65525 NAB65525 NJX65525 NTT65525 ODP65525 ONL65525 OXH65525 PHD65525 PQZ65525 QAV65525 QKR65525 QUN65525 REJ65525 ROF65525 RYB65525 SHX65525 SRT65525 TBP65525 TLL65525 TVH65525 UFD65525 UOZ65525 UYV65525 VIR65525 VSN65525 WCJ65525 WMF65525 WWB65525 JP131061 TL131061 ADH131061 AND131061 AWZ131061 BGV131061 BQR131061 CAN131061 CKJ131061 CUF131061 DEB131061 DNX131061 DXT131061 EHP131061 ERL131061 FBH131061 FLD131061 FUZ131061 GEV131061 GOR131061 GYN131061 HIJ131061 HSF131061 ICB131061 ILX131061 IVT131061 JFP131061 JPL131061 JZH131061 KJD131061 KSZ131061 LCV131061 LMR131061 LWN131061 MGJ131061 MQF131061 NAB131061 NJX131061 NTT131061 ODP131061 ONL131061 OXH131061 PHD131061 PQZ131061 QAV131061 QKR131061 QUN131061 REJ131061 ROF131061 RYB131061 SHX131061 SRT131061 TBP131061 TLL131061 TVH131061 UFD131061 UOZ131061 UYV131061 VIR131061 VSN131061 WCJ131061 WMF131061 WWB131061 JP196597 TL196597 ADH196597 AND196597 AWZ196597 BGV196597 BQR196597 CAN196597 CKJ196597 CUF196597 DEB196597 DNX196597 DXT196597 EHP196597 ERL196597 FBH196597 FLD196597 FUZ196597 GEV196597 GOR196597 GYN196597 HIJ196597 HSF196597 ICB196597 ILX196597 IVT196597 JFP196597 JPL196597 JZH196597 KJD196597 KSZ196597 LCV196597 LMR196597 LWN196597 MGJ196597 MQF196597 NAB196597 NJX196597 NTT196597 ODP196597 ONL196597 OXH196597 PHD196597 PQZ196597 QAV196597 QKR196597 QUN196597 REJ196597 ROF196597 RYB196597 SHX196597 SRT196597 TBP196597 TLL196597 TVH196597 UFD196597 UOZ196597 UYV196597 VIR196597 VSN196597 WCJ196597 WMF196597 WWB196597 JP262133 TL262133 ADH262133 AND262133 AWZ262133 BGV262133 BQR262133 CAN262133 CKJ262133 CUF262133 DEB262133 DNX262133 DXT262133 EHP262133 ERL262133 FBH262133 FLD262133 FUZ262133 GEV262133 GOR262133 GYN262133 HIJ262133 HSF262133 ICB262133 ILX262133 IVT262133 JFP262133 JPL262133 JZH262133 KJD262133 KSZ262133 LCV262133 LMR262133 LWN262133 MGJ262133 MQF262133 NAB262133 NJX262133 NTT262133 ODP262133 ONL262133 OXH262133 PHD262133 PQZ262133 QAV262133 QKR262133 QUN262133 REJ262133 ROF262133 RYB262133 SHX262133 SRT262133 TBP262133 TLL262133 TVH262133 UFD262133 UOZ262133 UYV262133 VIR262133 VSN262133 WCJ262133 WMF262133 WWB262133 JP327669 TL327669 ADH327669 AND327669 AWZ327669 BGV327669 BQR327669 CAN327669 CKJ327669 CUF327669 DEB327669 DNX327669 DXT327669 EHP327669 ERL327669 FBH327669 FLD327669 FUZ327669 GEV327669 GOR327669 GYN327669 HIJ327669 HSF327669 ICB327669 ILX327669 IVT327669 JFP327669 JPL327669 JZH327669 KJD327669 KSZ327669 LCV327669 LMR327669 LWN327669 MGJ327669 MQF327669 NAB327669 NJX327669 NTT327669 ODP327669 ONL327669 OXH327669 PHD327669 PQZ327669 QAV327669 QKR327669 QUN327669 REJ327669 ROF327669 RYB327669 SHX327669 SRT327669 TBP327669 TLL327669 TVH327669 UFD327669 UOZ327669 UYV327669 VIR327669 VSN327669 WCJ327669 WMF327669 WWB327669 JP393205 TL393205 ADH393205 AND393205 AWZ393205 BGV393205 BQR393205 CAN393205 CKJ393205 CUF393205 DEB393205 DNX393205 DXT393205 EHP393205 ERL393205 FBH393205 FLD393205 FUZ393205 GEV393205 GOR393205 GYN393205 HIJ393205 HSF393205 ICB393205 ILX393205 IVT393205 JFP393205 JPL393205 JZH393205 KJD393205 KSZ393205 LCV393205 LMR393205 LWN393205 MGJ393205 MQF393205 NAB393205 NJX393205 NTT393205 ODP393205 ONL393205 OXH393205 PHD393205 PQZ393205 QAV393205 QKR393205 QUN393205 REJ393205 ROF393205 RYB393205 SHX393205 SRT393205 TBP393205 TLL393205 TVH393205 UFD393205 UOZ393205 UYV393205 VIR393205 VSN393205 WCJ393205 WMF393205 WWB393205 JP458741 TL458741 ADH458741 AND458741 AWZ458741 BGV458741 BQR458741 CAN458741 CKJ458741 CUF458741 DEB458741 DNX458741 DXT458741 EHP458741 ERL458741 FBH458741 FLD458741 FUZ458741 GEV458741 GOR458741 GYN458741 HIJ458741 HSF458741 ICB458741 ILX458741 IVT458741 JFP458741 JPL458741 JZH458741 KJD458741 KSZ458741 LCV458741 LMR458741 LWN458741 MGJ458741 MQF458741 NAB458741 NJX458741 NTT458741 ODP458741 ONL458741 OXH458741 PHD458741 PQZ458741 QAV458741 QKR458741 QUN458741 REJ458741 ROF458741 RYB458741 SHX458741 SRT458741 TBP458741 TLL458741 TVH458741 UFD458741 UOZ458741 UYV458741 VIR458741 VSN458741 WCJ458741 WMF458741 WWB458741 JP524277 TL524277 ADH524277 AND524277 AWZ524277 BGV524277 BQR524277 CAN524277 CKJ524277 CUF524277 DEB524277 DNX524277 DXT524277 EHP524277 ERL524277 FBH524277 FLD524277 FUZ524277 GEV524277 GOR524277 GYN524277 HIJ524277 HSF524277 ICB524277 ILX524277 IVT524277 JFP524277 JPL524277 JZH524277 KJD524277 KSZ524277 LCV524277 LMR524277 LWN524277 MGJ524277 MQF524277 NAB524277 NJX524277 NTT524277 ODP524277 ONL524277 OXH524277 PHD524277 PQZ524277 QAV524277 QKR524277 QUN524277 REJ524277 ROF524277 RYB524277 SHX524277 SRT524277 TBP524277 TLL524277 TVH524277 UFD524277 UOZ524277 UYV524277 VIR524277 VSN524277 WCJ524277 WMF524277 WWB524277 JP589813 TL589813 ADH589813 AND589813 AWZ589813 BGV589813 BQR589813 CAN589813 CKJ589813 CUF589813 DEB589813 DNX589813 DXT589813 EHP589813 ERL589813 FBH589813 FLD589813 FUZ589813 GEV589813 GOR589813 GYN589813 HIJ589813 HSF589813 ICB589813 ILX589813 IVT589813 JFP589813 JPL589813 JZH589813 KJD589813 KSZ589813 LCV589813 LMR589813 LWN589813 MGJ589813 MQF589813 NAB589813 NJX589813 NTT589813 ODP589813 ONL589813 OXH589813 PHD589813 PQZ589813 QAV589813 QKR589813 QUN589813 REJ589813 ROF589813 RYB589813 SHX589813 SRT589813 TBP589813 TLL589813 TVH589813 UFD589813 UOZ589813 UYV589813 VIR589813 VSN589813 WCJ589813 WMF589813 WWB589813 JP655349 TL655349 ADH655349 AND655349 AWZ655349 BGV655349 BQR655349 CAN655349 CKJ655349 CUF655349 DEB655349 DNX655349 DXT655349 EHP655349 ERL655349 FBH655349 FLD655349 FUZ655349 GEV655349 GOR655349 GYN655349 HIJ655349 HSF655349 ICB655349 ILX655349 IVT655349 JFP655349 JPL655349 JZH655349 KJD655349 KSZ655349 LCV655349 LMR655349 LWN655349 MGJ655349 MQF655349 NAB655349 NJX655349 NTT655349 ODP655349 ONL655349 OXH655349 PHD655349 PQZ655349 QAV655349 QKR655349 QUN655349 REJ655349 ROF655349 RYB655349 SHX655349 SRT655349 TBP655349 TLL655349 TVH655349 UFD655349 UOZ655349 UYV655349 VIR655349 VSN655349 WCJ655349 WMF655349 WWB655349 JP720885 TL720885 ADH720885 AND720885 AWZ720885 BGV720885 BQR720885 CAN720885 CKJ720885 CUF720885 DEB720885 DNX720885 DXT720885 EHP720885 ERL720885 FBH720885 FLD720885 FUZ720885 GEV720885 GOR720885 GYN720885 HIJ720885 HSF720885 ICB720885 ILX720885 IVT720885 JFP720885 JPL720885 JZH720885 KJD720885 KSZ720885 LCV720885 LMR720885 LWN720885 MGJ720885 MQF720885 NAB720885 NJX720885 NTT720885 ODP720885 ONL720885 OXH720885 PHD720885 PQZ720885 QAV720885 QKR720885 QUN720885 REJ720885 ROF720885 RYB720885 SHX720885 SRT720885 TBP720885 TLL720885 TVH720885 UFD720885 UOZ720885 UYV720885 VIR720885 VSN720885 WCJ720885 WMF720885 WWB720885 JP786421 TL786421 ADH786421 AND786421 AWZ786421 BGV786421 BQR786421 CAN786421 CKJ786421 CUF786421 DEB786421 DNX786421 DXT786421 EHP786421 ERL786421 FBH786421 FLD786421 FUZ786421 GEV786421 GOR786421 GYN786421 HIJ786421 HSF786421 ICB786421 ILX786421 IVT786421 JFP786421 JPL786421 JZH786421 KJD786421 KSZ786421 LCV786421 LMR786421 LWN786421 MGJ786421 MQF786421 NAB786421 NJX786421 NTT786421 ODP786421 ONL786421 OXH786421 PHD786421 PQZ786421 QAV786421 QKR786421 QUN786421 REJ786421 ROF786421 RYB786421 SHX786421 SRT786421 TBP786421 TLL786421 TVH786421 UFD786421 UOZ786421 UYV786421 VIR786421 VSN786421 WCJ786421 WMF786421 WWB786421 JP851957 TL851957 ADH851957 AND851957 AWZ851957 BGV851957 BQR851957 CAN851957 CKJ851957 CUF851957 DEB851957 DNX851957 DXT851957 EHP851957 ERL851957 FBH851957 FLD851957 FUZ851957 GEV851957 GOR851957 GYN851957 HIJ851957 HSF851957 ICB851957 ILX851957 IVT851957 JFP851957 JPL851957 JZH851957 KJD851957 KSZ851957 LCV851957 LMR851957 LWN851957 MGJ851957 MQF851957 NAB851957 NJX851957 NTT851957 ODP851957 ONL851957 OXH851957 PHD851957 PQZ851957 QAV851957 QKR851957 QUN851957 REJ851957 ROF851957 RYB851957 SHX851957 SRT851957 TBP851957 TLL851957 TVH851957 UFD851957 UOZ851957 UYV851957 VIR851957 VSN851957 WCJ851957 WMF851957 WWB851957 JP917493 TL917493 ADH917493 AND917493 AWZ917493 BGV917493 BQR917493 CAN917493 CKJ917493 CUF917493 DEB917493 DNX917493 DXT917493 EHP917493 ERL917493 FBH917493 FLD917493 FUZ917493 GEV917493 GOR917493 GYN917493 HIJ917493 HSF917493 ICB917493 ILX917493 IVT917493 JFP917493 JPL917493 JZH917493 KJD917493 KSZ917493 LCV917493 LMR917493 LWN917493 MGJ917493 MQF917493 NAB917493 NJX917493 NTT917493 ODP917493 ONL917493 OXH917493 PHD917493 PQZ917493 QAV917493 QKR917493 QUN917493 REJ917493 ROF917493 RYB917493 SHX917493 SRT917493 TBP917493 TLL917493 TVH917493 UFD917493 UOZ917493 UYV917493 VIR917493 VSN917493 WCJ917493 WMF917493 WWB917493 JP983029 TL983029 ADH983029 AND983029 AWZ983029 BGV983029 BQR983029 CAN983029 CKJ983029 CUF983029 DEB983029 DNX983029 DXT983029 EHP983029 ERL983029 FBH983029 FLD983029 FUZ983029 GEV983029 GOR983029 GYN983029 HIJ983029 HSF983029 ICB983029 ILX983029 IVT983029 JFP983029 JPL983029 JZH983029 KJD983029 KSZ983029 LCV983029 LMR983029 LWN983029 MGJ983029 MQF983029 NAB983029 NJX983029 NTT983029 ODP983029 ONL983029 OXH983029 PHD983029 PQZ983029 QAV983029 QKR983029 QUN983029 REJ983029 ROF983029 RYB983029 SHX983029 SRT983029 TBP983029 TLL983029 TVH983029 UFD983029 UOZ983029 UYV983029 VIR983029 VSN983029 WCJ983029 WMF983029 WWB983029"/>
    <dataValidation allowBlank="1" showInputMessage="1" showErrorMessage="1" prompt="53° 20' 52.4436''" sqref="JN65525 TJ65525 ADF65525 ANB65525 AWX65525 BGT65525 BQP65525 CAL65525 CKH65525 CUD65525 DDZ65525 DNV65525 DXR65525 EHN65525 ERJ65525 FBF65525 FLB65525 FUX65525 GET65525 GOP65525 GYL65525 HIH65525 HSD65525 IBZ65525 ILV65525 IVR65525 JFN65525 JPJ65525 JZF65525 KJB65525 KSX65525 LCT65525 LMP65525 LWL65525 MGH65525 MQD65525 MZZ65525 NJV65525 NTR65525 ODN65525 ONJ65525 OXF65525 PHB65525 PQX65525 QAT65525 QKP65525 QUL65525 REH65525 ROD65525 RXZ65525 SHV65525 SRR65525 TBN65525 TLJ65525 TVF65525 UFB65525 UOX65525 UYT65525 VIP65525 VSL65525 WCH65525 WMD65525 WVZ65525 JN131061 TJ131061 ADF131061 ANB131061 AWX131061 BGT131061 BQP131061 CAL131061 CKH131061 CUD131061 DDZ131061 DNV131061 DXR131061 EHN131061 ERJ131061 FBF131061 FLB131061 FUX131061 GET131061 GOP131061 GYL131061 HIH131061 HSD131061 IBZ131061 ILV131061 IVR131061 JFN131061 JPJ131061 JZF131061 KJB131061 KSX131061 LCT131061 LMP131061 LWL131061 MGH131061 MQD131061 MZZ131061 NJV131061 NTR131061 ODN131061 ONJ131061 OXF131061 PHB131061 PQX131061 QAT131061 QKP131061 QUL131061 REH131061 ROD131061 RXZ131061 SHV131061 SRR131061 TBN131061 TLJ131061 TVF131061 UFB131061 UOX131061 UYT131061 VIP131061 VSL131061 WCH131061 WMD131061 WVZ131061 JN196597 TJ196597 ADF196597 ANB196597 AWX196597 BGT196597 BQP196597 CAL196597 CKH196597 CUD196597 DDZ196597 DNV196597 DXR196597 EHN196597 ERJ196597 FBF196597 FLB196597 FUX196597 GET196597 GOP196597 GYL196597 HIH196597 HSD196597 IBZ196597 ILV196597 IVR196597 JFN196597 JPJ196597 JZF196597 KJB196597 KSX196597 LCT196597 LMP196597 LWL196597 MGH196597 MQD196597 MZZ196597 NJV196597 NTR196597 ODN196597 ONJ196597 OXF196597 PHB196597 PQX196597 QAT196597 QKP196597 QUL196597 REH196597 ROD196597 RXZ196597 SHV196597 SRR196597 TBN196597 TLJ196597 TVF196597 UFB196597 UOX196597 UYT196597 VIP196597 VSL196597 WCH196597 WMD196597 WVZ196597 JN262133 TJ262133 ADF262133 ANB262133 AWX262133 BGT262133 BQP262133 CAL262133 CKH262133 CUD262133 DDZ262133 DNV262133 DXR262133 EHN262133 ERJ262133 FBF262133 FLB262133 FUX262133 GET262133 GOP262133 GYL262133 HIH262133 HSD262133 IBZ262133 ILV262133 IVR262133 JFN262133 JPJ262133 JZF262133 KJB262133 KSX262133 LCT262133 LMP262133 LWL262133 MGH262133 MQD262133 MZZ262133 NJV262133 NTR262133 ODN262133 ONJ262133 OXF262133 PHB262133 PQX262133 QAT262133 QKP262133 QUL262133 REH262133 ROD262133 RXZ262133 SHV262133 SRR262133 TBN262133 TLJ262133 TVF262133 UFB262133 UOX262133 UYT262133 VIP262133 VSL262133 WCH262133 WMD262133 WVZ262133 JN327669 TJ327669 ADF327669 ANB327669 AWX327669 BGT327669 BQP327669 CAL327669 CKH327669 CUD327669 DDZ327669 DNV327669 DXR327669 EHN327669 ERJ327669 FBF327669 FLB327669 FUX327669 GET327669 GOP327669 GYL327669 HIH327669 HSD327669 IBZ327669 ILV327669 IVR327669 JFN327669 JPJ327669 JZF327669 KJB327669 KSX327669 LCT327669 LMP327669 LWL327669 MGH327669 MQD327669 MZZ327669 NJV327669 NTR327669 ODN327669 ONJ327669 OXF327669 PHB327669 PQX327669 QAT327669 QKP327669 QUL327669 REH327669 ROD327669 RXZ327669 SHV327669 SRR327669 TBN327669 TLJ327669 TVF327669 UFB327669 UOX327669 UYT327669 VIP327669 VSL327669 WCH327669 WMD327669 WVZ327669 JN393205 TJ393205 ADF393205 ANB393205 AWX393205 BGT393205 BQP393205 CAL393205 CKH393205 CUD393205 DDZ393205 DNV393205 DXR393205 EHN393205 ERJ393205 FBF393205 FLB393205 FUX393205 GET393205 GOP393205 GYL393205 HIH393205 HSD393205 IBZ393205 ILV393205 IVR393205 JFN393205 JPJ393205 JZF393205 KJB393205 KSX393205 LCT393205 LMP393205 LWL393205 MGH393205 MQD393205 MZZ393205 NJV393205 NTR393205 ODN393205 ONJ393205 OXF393205 PHB393205 PQX393205 QAT393205 QKP393205 QUL393205 REH393205 ROD393205 RXZ393205 SHV393205 SRR393205 TBN393205 TLJ393205 TVF393205 UFB393205 UOX393205 UYT393205 VIP393205 VSL393205 WCH393205 WMD393205 WVZ393205 JN458741 TJ458741 ADF458741 ANB458741 AWX458741 BGT458741 BQP458741 CAL458741 CKH458741 CUD458741 DDZ458741 DNV458741 DXR458741 EHN458741 ERJ458741 FBF458741 FLB458741 FUX458741 GET458741 GOP458741 GYL458741 HIH458741 HSD458741 IBZ458741 ILV458741 IVR458741 JFN458741 JPJ458741 JZF458741 KJB458741 KSX458741 LCT458741 LMP458741 LWL458741 MGH458741 MQD458741 MZZ458741 NJV458741 NTR458741 ODN458741 ONJ458741 OXF458741 PHB458741 PQX458741 QAT458741 QKP458741 QUL458741 REH458741 ROD458741 RXZ458741 SHV458741 SRR458741 TBN458741 TLJ458741 TVF458741 UFB458741 UOX458741 UYT458741 VIP458741 VSL458741 WCH458741 WMD458741 WVZ458741 JN524277 TJ524277 ADF524277 ANB524277 AWX524277 BGT524277 BQP524277 CAL524277 CKH524277 CUD524277 DDZ524277 DNV524277 DXR524277 EHN524277 ERJ524277 FBF524277 FLB524277 FUX524277 GET524277 GOP524277 GYL524277 HIH524277 HSD524277 IBZ524277 ILV524277 IVR524277 JFN524277 JPJ524277 JZF524277 KJB524277 KSX524277 LCT524277 LMP524277 LWL524277 MGH524277 MQD524277 MZZ524277 NJV524277 NTR524277 ODN524277 ONJ524277 OXF524277 PHB524277 PQX524277 QAT524277 QKP524277 QUL524277 REH524277 ROD524277 RXZ524277 SHV524277 SRR524277 TBN524277 TLJ524277 TVF524277 UFB524277 UOX524277 UYT524277 VIP524277 VSL524277 WCH524277 WMD524277 WVZ524277 JN589813 TJ589813 ADF589813 ANB589813 AWX589813 BGT589813 BQP589813 CAL589813 CKH589813 CUD589813 DDZ589813 DNV589813 DXR589813 EHN589813 ERJ589813 FBF589813 FLB589813 FUX589813 GET589813 GOP589813 GYL589813 HIH589813 HSD589813 IBZ589813 ILV589813 IVR589813 JFN589813 JPJ589813 JZF589813 KJB589813 KSX589813 LCT589813 LMP589813 LWL589813 MGH589813 MQD589813 MZZ589813 NJV589813 NTR589813 ODN589813 ONJ589813 OXF589813 PHB589813 PQX589813 QAT589813 QKP589813 QUL589813 REH589813 ROD589813 RXZ589813 SHV589813 SRR589813 TBN589813 TLJ589813 TVF589813 UFB589813 UOX589813 UYT589813 VIP589813 VSL589813 WCH589813 WMD589813 WVZ589813 JN655349 TJ655349 ADF655349 ANB655349 AWX655349 BGT655349 BQP655349 CAL655349 CKH655349 CUD655349 DDZ655349 DNV655349 DXR655349 EHN655349 ERJ655349 FBF655349 FLB655349 FUX655349 GET655349 GOP655349 GYL655349 HIH655349 HSD655349 IBZ655349 ILV655349 IVR655349 JFN655349 JPJ655349 JZF655349 KJB655349 KSX655349 LCT655349 LMP655349 LWL655349 MGH655349 MQD655349 MZZ655349 NJV655349 NTR655349 ODN655349 ONJ655349 OXF655349 PHB655349 PQX655349 QAT655349 QKP655349 QUL655349 REH655349 ROD655349 RXZ655349 SHV655349 SRR655349 TBN655349 TLJ655349 TVF655349 UFB655349 UOX655349 UYT655349 VIP655349 VSL655349 WCH655349 WMD655349 WVZ655349 JN720885 TJ720885 ADF720885 ANB720885 AWX720885 BGT720885 BQP720885 CAL720885 CKH720885 CUD720885 DDZ720885 DNV720885 DXR720885 EHN720885 ERJ720885 FBF720885 FLB720885 FUX720885 GET720885 GOP720885 GYL720885 HIH720885 HSD720885 IBZ720885 ILV720885 IVR720885 JFN720885 JPJ720885 JZF720885 KJB720885 KSX720885 LCT720885 LMP720885 LWL720885 MGH720885 MQD720885 MZZ720885 NJV720885 NTR720885 ODN720885 ONJ720885 OXF720885 PHB720885 PQX720885 QAT720885 QKP720885 QUL720885 REH720885 ROD720885 RXZ720885 SHV720885 SRR720885 TBN720885 TLJ720885 TVF720885 UFB720885 UOX720885 UYT720885 VIP720885 VSL720885 WCH720885 WMD720885 WVZ720885 JN786421 TJ786421 ADF786421 ANB786421 AWX786421 BGT786421 BQP786421 CAL786421 CKH786421 CUD786421 DDZ786421 DNV786421 DXR786421 EHN786421 ERJ786421 FBF786421 FLB786421 FUX786421 GET786421 GOP786421 GYL786421 HIH786421 HSD786421 IBZ786421 ILV786421 IVR786421 JFN786421 JPJ786421 JZF786421 KJB786421 KSX786421 LCT786421 LMP786421 LWL786421 MGH786421 MQD786421 MZZ786421 NJV786421 NTR786421 ODN786421 ONJ786421 OXF786421 PHB786421 PQX786421 QAT786421 QKP786421 QUL786421 REH786421 ROD786421 RXZ786421 SHV786421 SRR786421 TBN786421 TLJ786421 TVF786421 UFB786421 UOX786421 UYT786421 VIP786421 VSL786421 WCH786421 WMD786421 WVZ786421 JN851957 TJ851957 ADF851957 ANB851957 AWX851957 BGT851957 BQP851957 CAL851957 CKH851957 CUD851957 DDZ851957 DNV851957 DXR851957 EHN851957 ERJ851957 FBF851957 FLB851957 FUX851957 GET851957 GOP851957 GYL851957 HIH851957 HSD851957 IBZ851957 ILV851957 IVR851957 JFN851957 JPJ851957 JZF851957 KJB851957 KSX851957 LCT851957 LMP851957 LWL851957 MGH851957 MQD851957 MZZ851957 NJV851957 NTR851957 ODN851957 ONJ851957 OXF851957 PHB851957 PQX851957 QAT851957 QKP851957 QUL851957 REH851957 ROD851957 RXZ851957 SHV851957 SRR851957 TBN851957 TLJ851957 TVF851957 UFB851957 UOX851957 UYT851957 VIP851957 VSL851957 WCH851957 WMD851957 WVZ851957 JN917493 TJ917493 ADF917493 ANB917493 AWX917493 BGT917493 BQP917493 CAL917493 CKH917493 CUD917493 DDZ917493 DNV917493 DXR917493 EHN917493 ERJ917493 FBF917493 FLB917493 FUX917493 GET917493 GOP917493 GYL917493 HIH917493 HSD917493 IBZ917493 ILV917493 IVR917493 JFN917493 JPJ917493 JZF917493 KJB917493 KSX917493 LCT917493 LMP917493 LWL917493 MGH917493 MQD917493 MZZ917493 NJV917493 NTR917493 ODN917493 ONJ917493 OXF917493 PHB917493 PQX917493 QAT917493 QKP917493 QUL917493 REH917493 ROD917493 RXZ917493 SHV917493 SRR917493 TBN917493 TLJ917493 TVF917493 UFB917493 UOX917493 UYT917493 VIP917493 VSL917493 WCH917493 WMD917493 WVZ917493 JN983029 TJ983029 ADF983029 ANB983029 AWX983029 BGT983029 BQP983029 CAL983029 CKH983029 CUD983029 DDZ983029 DNV983029 DXR983029 EHN983029 ERJ983029 FBF983029 FLB983029 FUX983029 GET983029 GOP983029 GYL983029 HIH983029 HSD983029 IBZ983029 ILV983029 IVR983029 JFN983029 JPJ983029 JZF983029 KJB983029 KSX983029 LCT983029 LMP983029 LWL983029 MGH983029 MQD983029 MZZ983029 NJV983029 NTR983029 ODN983029 ONJ983029 OXF983029 PHB983029 PQX983029 QAT983029 QKP983029 QUL983029 REH983029 ROD983029 RXZ983029 SHV983029 SRR983029 TBN983029 TLJ983029 TVF983029 UFB983029 UOX983029 UYT983029 VIP983029 VSL983029 WCH983029 WMD983029 WVZ983029"/>
    <dataValidation allowBlank="1" showInputMessage="1" showErrorMessage="1" prompt="-6.294484" sqref="JP65521 TL65521 ADH65521 AND65521 AWZ65521 BGV65521 BQR65521 CAN65521 CKJ65521 CUF65521 DEB65521 DNX65521 DXT65521 EHP65521 ERL65521 FBH65521 FLD65521 FUZ65521 GEV65521 GOR65521 GYN65521 HIJ65521 HSF65521 ICB65521 ILX65521 IVT65521 JFP65521 JPL65521 JZH65521 KJD65521 KSZ65521 LCV65521 LMR65521 LWN65521 MGJ65521 MQF65521 NAB65521 NJX65521 NTT65521 ODP65521 ONL65521 OXH65521 PHD65521 PQZ65521 QAV65521 QKR65521 QUN65521 REJ65521 ROF65521 RYB65521 SHX65521 SRT65521 TBP65521 TLL65521 TVH65521 UFD65521 UOZ65521 UYV65521 VIR65521 VSN65521 WCJ65521 WMF65521 WWB65521 JP131057 TL131057 ADH131057 AND131057 AWZ131057 BGV131057 BQR131057 CAN131057 CKJ131057 CUF131057 DEB131057 DNX131057 DXT131057 EHP131057 ERL131057 FBH131057 FLD131057 FUZ131057 GEV131057 GOR131057 GYN131057 HIJ131057 HSF131057 ICB131057 ILX131057 IVT131057 JFP131057 JPL131057 JZH131057 KJD131057 KSZ131057 LCV131057 LMR131057 LWN131057 MGJ131057 MQF131057 NAB131057 NJX131057 NTT131057 ODP131057 ONL131057 OXH131057 PHD131057 PQZ131057 QAV131057 QKR131057 QUN131057 REJ131057 ROF131057 RYB131057 SHX131057 SRT131057 TBP131057 TLL131057 TVH131057 UFD131057 UOZ131057 UYV131057 VIR131057 VSN131057 WCJ131057 WMF131057 WWB131057 JP196593 TL196593 ADH196593 AND196593 AWZ196593 BGV196593 BQR196593 CAN196593 CKJ196593 CUF196593 DEB196593 DNX196593 DXT196593 EHP196593 ERL196593 FBH196593 FLD196593 FUZ196593 GEV196593 GOR196593 GYN196593 HIJ196593 HSF196593 ICB196593 ILX196593 IVT196593 JFP196593 JPL196593 JZH196593 KJD196593 KSZ196593 LCV196593 LMR196593 LWN196593 MGJ196593 MQF196593 NAB196593 NJX196593 NTT196593 ODP196593 ONL196593 OXH196593 PHD196593 PQZ196593 QAV196593 QKR196593 QUN196593 REJ196593 ROF196593 RYB196593 SHX196593 SRT196593 TBP196593 TLL196593 TVH196593 UFD196593 UOZ196593 UYV196593 VIR196593 VSN196593 WCJ196593 WMF196593 WWB196593 JP262129 TL262129 ADH262129 AND262129 AWZ262129 BGV262129 BQR262129 CAN262129 CKJ262129 CUF262129 DEB262129 DNX262129 DXT262129 EHP262129 ERL262129 FBH262129 FLD262129 FUZ262129 GEV262129 GOR262129 GYN262129 HIJ262129 HSF262129 ICB262129 ILX262129 IVT262129 JFP262129 JPL262129 JZH262129 KJD262129 KSZ262129 LCV262129 LMR262129 LWN262129 MGJ262129 MQF262129 NAB262129 NJX262129 NTT262129 ODP262129 ONL262129 OXH262129 PHD262129 PQZ262129 QAV262129 QKR262129 QUN262129 REJ262129 ROF262129 RYB262129 SHX262129 SRT262129 TBP262129 TLL262129 TVH262129 UFD262129 UOZ262129 UYV262129 VIR262129 VSN262129 WCJ262129 WMF262129 WWB262129 JP327665 TL327665 ADH327665 AND327665 AWZ327665 BGV327665 BQR327665 CAN327665 CKJ327665 CUF327665 DEB327665 DNX327665 DXT327665 EHP327665 ERL327665 FBH327665 FLD327665 FUZ327665 GEV327665 GOR327665 GYN327665 HIJ327665 HSF327665 ICB327665 ILX327665 IVT327665 JFP327665 JPL327665 JZH327665 KJD327665 KSZ327665 LCV327665 LMR327665 LWN327665 MGJ327665 MQF327665 NAB327665 NJX327665 NTT327665 ODP327665 ONL327665 OXH327665 PHD327665 PQZ327665 QAV327665 QKR327665 QUN327665 REJ327665 ROF327665 RYB327665 SHX327665 SRT327665 TBP327665 TLL327665 TVH327665 UFD327665 UOZ327665 UYV327665 VIR327665 VSN327665 WCJ327665 WMF327665 WWB327665 JP393201 TL393201 ADH393201 AND393201 AWZ393201 BGV393201 BQR393201 CAN393201 CKJ393201 CUF393201 DEB393201 DNX393201 DXT393201 EHP393201 ERL393201 FBH393201 FLD393201 FUZ393201 GEV393201 GOR393201 GYN393201 HIJ393201 HSF393201 ICB393201 ILX393201 IVT393201 JFP393201 JPL393201 JZH393201 KJD393201 KSZ393201 LCV393201 LMR393201 LWN393201 MGJ393201 MQF393201 NAB393201 NJX393201 NTT393201 ODP393201 ONL393201 OXH393201 PHD393201 PQZ393201 QAV393201 QKR393201 QUN393201 REJ393201 ROF393201 RYB393201 SHX393201 SRT393201 TBP393201 TLL393201 TVH393201 UFD393201 UOZ393201 UYV393201 VIR393201 VSN393201 WCJ393201 WMF393201 WWB393201 JP458737 TL458737 ADH458737 AND458737 AWZ458737 BGV458737 BQR458737 CAN458737 CKJ458737 CUF458737 DEB458737 DNX458737 DXT458737 EHP458737 ERL458737 FBH458737 FLD458737 FUZ458737 GEV458737 GOR458737 GYN458737 HIJ458737 HSF458737 ICB458737 ILX458737 IVT458737 JFP458737 JPL458737 JZH458737 KJD458737 KSZ458737 LCV458737 LMR458737 LWN458737 MGJ458737 MQF458737 NAB458737 NJX458737 NTT458737 ODP458737 ONL458737 OXH458737 PHD458737 PQZ458737 QAV458737 QKR458737 QUN458737 REJ458737 ROF458737 RYB458737 SHX458737 SRT458737 TBP458737 TLL458737 TVH458737 UFD458737 UOZ458737 UYV458737 VIR458737 VSN458737 WCJ458737 WMF458737 WWB458737 JP524273 TL524273 ADH524273 AND524273 AWZ524273 BGV524273 BQR524273 CAN524273 CKJ524273 CUF524273 DEB524273 DNX524273 DXT524273 EHP524273 ERL524273 FBH524273 FLD524273 FUZ524273 GEV524273 GOR524273 GYN524273 HIJ524273 HSF524273 ICB524273 ILX524273 IVT524273 JFP524273 JPL524273 JZH524273 KJD524273 KSZ524273 LCV524273 LMR524273 LWN524273 MGJ524273 MQF524273 NAB524273 NJX524273 NTT524273 ODP524273 ONL524273 OXH524273 PHD524273 PQZ524273 QAV524273 QKR524273 QUN524273 REJ524273 ROF524273 RYB524273 SHX524273 SRT524273 TBP524273 TLL524273 TVH524273 UFD524273 UOZ524273 UYV524273 VIR524273 VSN524273 WCJ524273 WMF524273 WWB524273 JP589809 TL589809 ADH589809 AND589809 AWZ589809 BGV589809 BQR589809 CAN589809 CKJ589809 CUF589809 DEB589809 DNX589809 DXT589809 EHP589809 ERL589809 FBH589809 FLD589809 FUZ589809 GEV589809 GOR589809 GYN589809 HIJ589809 HSF589809 ICB589809 ILX589809 IVT589809 JFP589809 JPL589809 JZH589809 KJD589809 KSZ589809 LCV589809 LMR589809 LWN589809 MGJ589809 MQF589809 NAB589809 NJX589809 NTT589809 ODP589809 ONL589809 OXH589809 PHD589809 PQZ589809 QAV589809 QKR589809 QUN589809 REJ589809 ROF589809 RYB589809 SHX589809 SRT589809 TBP589809 TLL589809 TVH589809 UFD589809 UOZ589809 UYV589809 VIR589809 VSN589809 WCJ589809 WMF589809 WWB589809 JP655345 TL655345 ADH655345 AND655345 AWZ655345 BGV655345 BQR655345 CAN655345 CKJ655345 CUF655345 DEB655345 DNX655345 DXT655345 EHP655345 ERL655345 FBH655345 FLD655345 FUZ655345 GEV655345 GOR655345 GYN655345 HIJ655345 HSF655345 ICB655345 ILX655345 IVT655345 JFP655345 JPL655345 JZH655345 KJD655345 KSZ655345 LCV655345 LMR655345 LWN655345 MGJ655345 MQF655345 NAB655345 NJX655345 NTT655345 ODP655345 ONL655345 OXH655345 PHD655345 PQZ655345 QAV655345 QKR655345 QUN655345 REJ655345 ROF655345 RYB655345 SHX655345 SRT655345 TBP655345 TLL655345 TVH655345 UFD655345 UOZ655345 UYV655345 VIR655345 VSN655345 WCJ655345 WMF655345 WWB655345 JP720881 TL720881 ADH720881 AND720881 AWZ720881 BGV720881 BQR720881 CAN720881 CKJ720881 CUF720881 DEB720881 DNX720881 DXT720881 EHP720881 ERL720881 FBH720881 FLD720881 FUZ720881 GEV720881 GOR720881 GYN720881 HIJ720881 HSF720881 ICB720881 ILX720881 IVT720881 JFP720881 JPL720881 JZH720881 KJD720881 KSZ720881 LCV720881 LMR720881 LWN720881 MGJ720881 MQF720881 NAB720881 NJX720881 NTT720881 ODP720881 ONL720881 OXH720881 PHD720881 PQZ720881 QAV720881 QKR720881 QUN720881 REJ720881 ROF720881 RYB720881 SHX720881 SRT720881 TBP720881 TLL720881 TVH720881 UFD720881 UOZ720881 UYV720881 VIR720881 VSN720881 WCJ720881 WMF720881 WWB720881 JP786417 TL786417 ADH786417 AND786417 AWZ786417 BGV786417 BQR786417 CAN786417 CKJ786417 CUF786417 DEB786417 DNX786417 DXT786417 EHP786417 ERL786417 FBH786417 FLD786417 FUZ786417 GEV786417 GOR786417 GYN786417 HIJ786417 HSF786417 ICB786417 ILX786417 IVT786417 JFP786417 JPL786417 JZH786417 KJD786417 KSZ786417 LCV786417 LMR786417 LWN786417 MGJ786417 MQF786417 NAB786417 NJX786417 NTT786417 ODP786417 ONL786417 OXH786417 PHD786417 PQZ786417 QAV786417 QKR786417 QUN786417 REJ786417 ROF786417 RYB786417 SHX786417 SRT786417 TBP786417 TLL786417 TVH786417 UFD786417 UOZ786417 UYV786417 VIR786417 VSN786417 WCJ786417 WMF786417 WWB786417 JP851953 TL851953 ADH851953 AND851953 AWZ851953 BGV851953 BQR851953 CAN851953 CKJ851953 CUF851953 DEB851953 DNX851953 DXT851953 EHP851953 ERL851953 FBH851953 FLD851953 FUZ851953 GEV851953 GOR851953 GYN851953 HIJ851953 HSF851953 ICB851953 ILX851953 IVT851953 JFP851953 JPL851953 JZH851953 KJD851953 KSZ851953 LCV851953 LMR851953 LWN851953 MGJ851953 MQF851953 NAB851953 NJX851953 NTT851953 ODP851953 ONL851953 OXH851953 PHD851953 PQZ851953 QAV851953 QKR851953 QUN851953 REJ851953 ROF851953 RYB851953 SHX851953 SRT851953 TBP851953 TLL851953 TVH851953 UFD851953 UOZ851953 UYV851953 VIR851953 VSN851953 WCJ851953 WMF851953 WWB851953 JP917489 TL917489 ADH917489 AND917489 AWZ917489 BGV917489 BQR917489 CAN917489 CKJ917489 CUF917489 DEB917489 DNX917489 DXT917489 EHP917489 ERL917489 FBH917489 FLD917489 FUZ917489 GEV917489 GOR917489 GYN917489 HIJ917489 HSF917489 ICB917489 ILX917489 IVT917489 JFP917489 JPL917489 JZH917489 KJD917489 KSZ917489 LCV917489 LMR917489 LWN917489 MGJ917489 MQF917489 NAB917489 NJX917489 NTT917489 ODP917489 ONL917489 OXH917489 PHD917489 PQZ917489 QAV917489 QKR917489 QUN917489 REJ917489 ROF917489 RYB917489 SHX917489 SRT917489 TBP917489 TLL917489 TVH917489 UFD917489 UOZ917489 UYV917489 VIR917489 VSN917489 WCJ917489 WMF917489 WWB917489 JP983025 TL983025 ADH983025 AND983025 AWZ983025 BGV983025 BQR983025 CAN983025 CKJ983025 CUF983025 DEB983025 DNX983025 DXT983025 EHP983025 ERL983025 FBH983025 FLD983025 FUZ983025 GEV983025 GOR983025 GYN983025 HIJ983025 HSF983025 ICB983025 ILX983025 IVT983025 JFP983025 JPL983025 JZH983025 KJD983025 KSZ983025 LCV983025 LMR983025 LWN983025 MGJ983025 MQF983025 NAB983025 NJX983025 NTT983025 ODP983025 ONL983025 OXH983025 PHD983025 PQZ983025 QAV983025 QKR983025 QUN983025 REJ983025 ROF983025 RYB983025 SHX983025 SRT983025 TBP983025 TLL983025 TVH983025 UFD983025 UOZ983025 UYV983025 VIR983025 VSN983025 WCJ983025 WMF983025 WWB983025"/>
    <dataValidation allowBlank="1" showInputMessage="1" showErrorMessage="1" prompt="53.347901" sqref="JN65521 TJ65521 ADF65521 ANB65521 AWX65521 BGT65521 BQP65521 CAL65521 CKH65521 CUD65521 DDZ65521 DNV65521 DXR65521 EHN65521 ERJ65521 FBF65521 FLB65521 FUX65521 GET65521 GOP65521 GYL65521 HIH65521 HSD65521 IBZ65521 ILV65521 IVR65521 JFN65521 JPJ65521 JZF65521 KJB65521 KSX65521 LCT65521 LMP65521 LWL65521 MGH65521 MQD65521 MZZ65521 NJV65521 NTR65521 ODN65521 ONJ65521 OXF65521 PHB65521 PQX65521 QAT65521 QKP65521 QUL65521 REH65521 ROD65521 RXZ65521 SHV65521 SRR65521 TBN65521 TLJ65521 TVF65521 UFB65521 UOX65521 UYT65521 VIP65521 VSL65521 WCH65521 WMD65521 WVZ65521 JN131057 TJ131057 ADF131057 ANB131057 AWX131057 BGT131057 BQP131057 CAL131057 CKH131057 CUD131057 DDZ131057 DNV131057 DXR131057 EHN131057 ERJ131057 FBF131057 FLB131057 FUX131057 GET131057 GOP131057 GYL131057 HIH131057 HSD131057 IBZ131057 ILV131057 IVR131057 JFN131057 JPJ131057 JZF131057 KJB131057 KSX131057 LCT131057 LMP131057 LWL131057 MGH131057 MQD131057 MZZ131057 NJV131057 NTR131057 ODN131057 ONJ131057 OXF131057 PHB131057 PQX131057 QAT131057 QKP131057 QUL131057 REH131057 ROD131057 RXZ131057 SHV131057 SRR131057 TBN131057 TLJ131057 TVF131057 UFB131057 UOX131057 UYT131057 VIP131057 VSL131057 WCH131057 WMD131057 WVZ131057 JN196593 TJ196593 ADF196593 ANB196593 AWX196593 BGT196593 BQP196593 CAL196593 CKH196593 CUD196593 DDZ196593 DNV196593 DXR196593 EHN196593 ERJ196593 FBF196593 FLB196593 FUX196593 GET196593 GOP196593 GYL196593 HIH196593 HSD196593 IBZ196593 ILV196593 IVR196593 JFN196593 JPJ196593 JZF196593 KJB196593 KSX196593 LCT196593 LMP196593 LWL196593 MGH196593 MQD196593 MZZ196593 NJV196593 NTR196593 ODN196593 ONJ196593 OXF196593 PHB196593 PQX196593 QAT196593 QKP196593 QUL196593 REH196593 ROD196593 RXZ196593 SHV196593 SRR196593 TBN196593 TLJ196593 TVF196593 UFB196593 UOX196593 UYT196593 VIP196593 VSL196593 WCH196593 WMD196593 WVZ196593 JN262129 TJ262129 ADF262129 ANB262129 AWX262129 BGT262129 BQP262129 CAL262129 CKH262129 CUD262129 DDZ262129 DNV262129 DXR262129 EHN262129 ERJ262129 FBF262129 FLB262129 FUX262129 GET262129 GOP262129 GYL262129 HIH262129 HSD262129 IBZ262129 ILV262129 IVR262129 JFN262129 JPJ262129 JZF262129 KJB262129 KSX262129 LCT262129 LMP262129 LWL262129 MGH262129 MQD262129 MZZ262129 NJV262129 NTR262129 ODN262129 ONJ262129 OXF262129 PHB262129 PQX262129 QAT262129 QKP262129 QUL262129 REH262129 ROD262129 RXZ262129 SHV262129 SRR262129 TBN262129 TLJ262129 TVF262129 UFB262129 UOX262129 UYT262129 VIP262129 VSL262129 WCH262129 WMD262129 WVZ262129 JN327665 TJ327665 ADF327665 ANB327665 AWX327665 BGT327665 BQP327665 CAL327665 CKH327665 CUD327665 DDZ327665 DNV327665 DXR327665 EHN327665 ERJ327665 FBF327665 FLB327665 FUX327665 GET327665 GOP327665 GYL327665 HIH327665 HSD327665 IBZ327665 ILV327665 IVR327665 JFN327665 JPJ327665 JZF327665 KJB327665 KSX327665 LCT327665 LMP327665 LWL327665 MGH327665 MQD327665 MZZ327665 NJV327665 NTR327665 ODN327665 ONJ327665 OXF327665 PHB327665 PQX327665 QAT327665 QKP327665 QUL327665 REH327665 ROD327665 RXZ327665 SHV327665 SRR327665 TBN327665 TLJ327665 TVF327665 UFB327665 UOX327665 UYT327665 VIP327665 VSL327665 WCH327665 WMD327665 WVZ327665 JN393201 TJ393201 ADF393201 ANB393201 AWX393201 BGT393201 BQP393201 CAL393201 CKH393201 CUD393201 DDZ393201 DNV393201 DXR393201 EHN393201 ERJ393201 FBF393201 FLB393201 FUX393201 GET393201 GOP393201 GYL393201 HIH393201 HSD393201 IBZ393201 ILV393201 IVR393201 JFN393201 JPJ393201 JZF393201 KJB393201 KSX393201 LCT393201 LMP393201 LWL393201 MGH393201 MQD393201 MZZ393201 NJV393201 NTR393201 ODN393201 ONJ393201 OXF393201 PHB393201 PQX393201 QAT393201 QKP393201 QUL393201 REH393201 ROD393201 RXZ393201 SHV393201 SRR393201 TBN393201 TLJ393201 TVF393201 UFB393201 UOX393201 UYT393201 VIP393201 VSL393201 WCH393201 WMD393201 WVZ393201 JN458737 TJ458737 ADF458737 ANB458737 AWX458737 BGT458737 BQP458737 CAL458737 CKH458737 CUD458737 DDZ458737 DNV458737 DXR458737 EHN458737 ERJ458737 FBF458737 FLB458737 FUX458737 GET458737 GOP458737 GYL458737 HIH458737 HSD458737 IBZ458737 ILV458737 IVR458737 JFN458737 JPJ458737 JZF458737 KJB458737 KSX458737 LCT458737 LMP458737 LWL458737 MGH458737 MQD458737 MZZ458737 NJV458737 NTR458737 ODN458737 ONJ458737 OXF458737 PHB458737 PQX458737 QAT458737 QKP458737 QUL458737 REH458737 ROD458737 RXZ458737 SHV458737 SRR458737 TBN458737 TLJ458737 TVF458737 UFB458737 UOX458737 UYT458737 VIP458737 VSL458737 WCH458737 WMD458737 WVZ458737 JN524273 TJ524273 ADF524273 ANB524273 AWX524273 BGT524273 BQP524273 CAL524273 CKH524273 CUD524273 DDZ524273 DNV524273 DXR524273 EHN524273 ERJ524273 FBF524273 FLB524273 FUX524273 GET524273 GOP524273 GYL524273 HIH524273 HSD524273 IBZ524273 ILV524273 IVR524273 JFN524273 JPJ524273 JZF524273 KJB524273 KSX524273 LCT524273 LMP524273 LWL524273 MGH524273 MQD524273 MZZ524273 NJV524273 NTR524273 ODN524273 ONJ524273 OXF524273 PHB524273 PQX524273 QAT524273 QKP524273 QUL524273 REH524273 ROD524273 RXZ524273 SHV524273 SRR524273 TBN524273 TLJ524273 TVF524273 UFB524273 UOX524273 UYT524273 VIP524273 VSL524273 WCH524273 WMD524273 WVZ524273 JN589809 TJ589809 ADF589809 ANB589809 AWX589809 BGT589809 BQP589809 CAL589809 CKH589809 CUD589809 DDZ589809 DNV589809 DXR589809 EHN589809 ERJ589809 FBF589809 FLB589809 FUX589809 GET589809 GOP589809 GYL589809 HIH589809 HSD589809 IBZ589809 ILV589809 IVR589809 JFN589809 JPJ589809 JZF589809 KJB589809 KSX589809 LCT589809 LMP589809 LWL589809 MGH589809 MQD589809 MZZ589809 NJV589809 NTR589809 ODN589809 ONJ589809 OXF589809 PHB589809 PQX589809 QAT589809 QKP589809 QUL589809 REH589809 ROD589809 RXZ589809 SHV589809 SRR589809 TBN589809 TLJ589809 TVF589809 UFB589809 UOX589809 UYT589809 VIP589809 VSL589809 WCH589809 WMD589809 WVZ589809 JN655345 TJ655345 ADF655345 ANB655345 AWX655345 BGT655345 BQP655345 CAL655345 CKH655345 CUD655345 DDZ655345 DNV655345 DXR655345 EHN655345 ERJ655345 FBF655345 FLB655345 FUX655345 GET655345 GOP655345 GYL655345 HIH655345 HSD655345 IBZ655345 ILV655345 IVR655345 JFN655345 JPJ655345 JZF655345 KJB655345 KSX655345 LCT655345 LMP655345 LWL655345 MGH655345 MQD655345 MZZ655345 NJV655345 NTR655345 ODN655345 ONJ655345 OXF655345 PHB655345 PQX655345 QAT655345 QKP655345 QUL655345 REH655345 ROD655345 RXZ655345 SHV655345 SRR655345 TBN655345 TLJ655345 TVF655345 UFB655345 UOX655345 UYT655345 VIP655345 VSL655345 WCH655345 WMD655345 WVZ655345 JN720881 TJ720881 ADF720881 ANB720881 AWX720881 BGT720881 BQP720881 CAL720881 CKH720881 CUD720881 DDZ720881 DNV720881 DXR720881 EHN720881 ERJ720881 FBF720881 FLB720881 FUX720881 GET720881 GOP720881 GYL720881 HIH720881 HSD720881 IBZ720881 ILV720881 IVR720881 JFN720881 JPJ720881 JZF720881 KJB720881 KSX720881 LCT720881 LMP720881 LWL720881 MGH720881 MQD720881 MZZ720881 NJV720881 NTR720881 ODN720881 ONJ720881 OXF720881 PHB720881 PQX720881 QAT720881 QKP720881 QUL720881 REH720881 ROD720881 RXZ720881 SHV720881 SRR720881 TBN720881 TLJ720881 TVF720881 UFB720881 UOX720881 UYT720881 VIP720881 VSL720881 WCH720881 WMD720881 WVZ720881 JN786417 TJ786417 ADF786417 ANB786417 AWX786417 BGT786417 BQP786417 CAL786417 CKH786417 CUD786417 DDZ786417 DNV786417 DXR786417 EHN786417 ERJ786417 FBF786417 FLB786417 FUX786417 GET786417 GOP786417 GYL786417 HIH786417 HSD786417 IBZ786417 ILV786417 IVR786417 JFN786417 JPJ786417 JZF786417 KJB786417 KSX786417 LCT786417 LMP786417 LWL786417 MGH786417 MQD786417 MZZ786417 NJV786417 NTR786417 ODN786417 ONJ786417 OXF786417 PHB786417 PQX786417 QAT786417 QKP786417 QUL786417 REH786417 ROD786417 RXZ786417 SHV786417 SRR786417 TBN786417 TLJ786417 TVF786417 UFB786417 UOX786417 UYT786417 VIP786417 VSL786417 WCH786417 WMD786417 WVZ786417 JN851953 TJ851953 ADF851953 ANB851953 AWX851953 BGT851953 BQP851953 CAL851953 CKH851953 CUD851953 DDZ851953 DNV851953 DXR851953 EHN851953 ERJ851953 FBF851953 FLB851953 FUX851953 GET851953 GOP851953 GYL851953 HIH851953 HSD851953 IBZ851953 ILV851953 IVR851953 JFN851953 JPJ851953 JZF851953 KJB851953 KSX851953 LCT851953 LMP851953 LWL851953 MGH851953 MQD851953 MZZ851953 NJV851953 NTR851953 ODN851953 ONJ851953 OXF851953 PHB851953 PQX851953 QAT851953 QKP851953 QUL851953 REH851953 ROD851953 RXZ851953 SHV851953 SRR851953 TBN851953 TLJ851953 TVF851953 UFB851953 UOX851953 UYT851953 VIP851953 VSL851953 WCH851953 WMD851953 WVZ851953 JN917489 TJ917489 ADF917489 ANB917489 AWX917489 BGT917489 BQP917489 CAL917489 CKH917489 CUD917489 DDZ917489 DNV917489 DXR917489 EHN917489 ERJ917489 FBF917489 FLB917489 FUX917489 GET917489 GOP917489 GYL917489 HIH917489 HSD917489 IBZ917489 ILV917489 IVR917489 JFN917489 JPJ917489 JZF917489 KJB917489 KSX917489 LCT917489 LMP917489 LWL917489 MGH917489 MQD917489 MZZ917489 NJV917489 NTR917489 ODN917489 ONJ917489 OXF917489 PHB917489 PQX917489 QAT917489 QKP917489 QUL917489 REH917489 ROD917489 RXZ917489 SHV917489 SRR917489 TBN917489 TLJ917489 TVF917489 UFB917489 UOX917489 UYT917489 VIP917489 VSL917489 WCH917489 WMD917489 WVZ917489 JN983025 TJ983025 ADF983025 ANB983025 AWX983025 BGT983025 BQP983025 CAL983025 CKH983025 CUD983025 DDZ983025 DNV983025 DXR983025 EHN983025 ERJ983025 FBF983025 FLB983025 FUX983025 GET983025 GOP983025 GYL983025 HIH983025 HSD983025 IBZ983025 ILV983025 IVR983025 JFN983025 JPJ983025 JZF983025 KJB983025 KSX983025 LCT983025 LMP983025 LWL983025 MGH983025 MQD983025 MZZ983025 NJV983025 NTR983025 ODN983025 ONJ983025 OXF983025 PHB983025 PQX983025 QAT983025 QKP983025 QUL983025 REH983025 ROD983025 RXZ983025 SHV983025 SRR983025 TBN983025 TLJ983025 TVF983025 UFB983025 UOX983025 UYT983025 VIP983025 VSL983025 WCH983025 WMD983025 WVZ983025"/>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rowBreaks count="1" manualBreakCount="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8"/>
  <sheetViews>
    <sheetView view="pageLayout" topLeftCell="A41" zoomScale="85" zoomScaleNormal="100" zoomScalePageLayoutView="85" workbookViewId="0">
      <selection activeCell="C45" sqref="C45:Z45"/>
    </sheetView>
  </sheetViews>
  <sheetFormatPr defaultColWidth="8.88671875" defaultRowHeight="15" customHeight="1" x14ac:dyDescent="0.3"/>
  <cols>
    <col min="1" max="1" width="2.6640625" style="2" customWidth="1"/>
    <col min="2" max="2" width="5" style="2" customWidth="1"/>
    <col min="3" max="25" width="5.33203125" style="2" customWidth="1"/>
    <col min="26" max="26" width="8.44140625" style="2" customWidth="1"/>
    <col min="27" max="27" width="2.6640625" style="2" customWidth="1"/>
    <col min="28" max="274" width="7.6640625" style="2" customWidth="1"/>
    <col min="275" max="275" width="14.33203125" style="2" customWidth="1"/>
    <col min="276" max="276" width="4" style="2" customWidth="1"/>
    <col min="277" max="277" width="14.33203125" style="2" customWidth="1"/>
    <col min="278" max="278" width="4" style="2" customWidth="1"/>
    <col min="279" max="530" width="7.6640625" style="2" customWidth="1"/>
    <col min="531" max="531" width="14.33203125" style="2" customWidth="1"/>
    <col min="532" max="532" width="4" style="2" customWidth="1"/>
    <col min="533" max="533" width="14.33203125" style="2" customWidth="1"/>
    <col min="534" max="534" width="4" style="2" customWidth="1"/>
    <col min="535" max="786" width="7.6640625" style="2" customWidth="1"/>
    <col min="787" max="787" width="14.33203125" style="2" customWidth="1"/>
    <col min="788" max="788" width="4" style="2" customWidth="1"/>
    <col min="789" max="789" width="14.33203125" style="2" customWidth="1"/>
    <col min="790" max="790" width="4" style="2" customWidth="1"/>
    <col min="791" max="1042" width="7.6640625" style="2" customWidth="1"/>
    <col min="1043" max="1043" width="14.33203125" style="2" customWidth="1"/>
    <col min="1044" max="1044" width="4" style="2" customWidth="1"/>
    <col min="1045" max="1045" width="14.33203125" style="2" customWidth="1"/>
    <col min="1046" max="1046" width="4" style="2" customWidth="1"/>
    <col min="1047" max="1298" width="7.6640625" style="2" customWidth="1"/>
    <col min="1299" max="1299" width="14.33203125" style="2" customWidth="1"/>
    <col min="1300" max="1300" width="4" style="2" customWidth="1"/>
    <col min="1301" max="1301" width="14.33203125" style="2" customWidth="1"/>
    <col min="1302" max="1302" width="4" style="2" customWidth="1"/>
    <col min="1303" max="1554" width="7.6640625" style="2" customWidth="1"/>
    <col min="1555" max="1555" width="14.33203125" style="2" customWidth="1"/>
    <col min="1556" max="1556" width="4" style="2" customWidth="1"/>
    <col min="1557" max="1557" width="14.33203125" style="2" customWidth="1"/>
    <col min="1558" max="1558" width="4" style="2" customWidth="1"/>
    <col min="1559" max="1810" width="7.6640625" style="2" customWidth="1"/>
    <col min="1811" max="1811" width="14.33203125" style="2" customWidth="1"/>
    <col min="1812" max="1812" width="4" style="2" customWidth="1"/>
    <col min="1813" max="1813" width="14.33203125" style="2" customWidth="1"/>
    <col min="1814" max="1814" width="4" style="2" customWidth="1"/>
    <col min="1815" max="2066" width="7.6640625" style="2" customWidth="1"/>
    <col min="2067" max="2067" width="14.33203125" style="2" customWidth="1"/>
    <col min="2068" max="2068" width="4" style="2" customWidth="1"/>
    <col min="2069" max="2069" width="14.33203125" style="2" customWidth="1"/>
    <col min="2070" max="2070" width="4" style="2" customWidth="1"/>
    <col min="2071" max="2322" width="7.6640625" style="2" customWidth="1"/>
    <col min="2323" max="2323" width="14.33203125" style="2" customWidth="1"/>
    <col min="2324" max="2324" width="4" style="2" customWidth="1"/>
    <col min="2325" max="2325" width="14.33203125" style="2" customWidth="1"/>
    <col min="2326" max="2326" width="4" style="2" customWidth="1"/>
    <col min="2327" max="2578" width="7.6640625" style="2" customWidth="1"/>
    <col min="2579" max="2579" width="14.33203125" style="2" customWidth="1"/>
    <col min="2580" max="2580" width="4" style="2" customWidth="1"/>
    <col min="2581" max="2581" width="14.33203125" style="2" customWidth="1"/>
    <col min="2582" max="2582" width="4" style="2" customWidth="1"/>
    <col min="2583" max="2834" width="7.6640625" style="2" customWidth="1"/>
    <col min="2835" max="2835" width="14.33203125" style="2" customWidth="1"/>
    <col min="2836" max="2836" width="4" style="2" customWidth="1"/>
    <col min="2837" max="2837" width="14.33203125" style="2" customWidth="1"/>
    <col min="2838" max="2838" width="4" style="2" customWidth="1"/>
    <col min="2839" max="3090" width="7.6640625" style="2" customWidth="1"/>
    <col min="3091" max="3091" width="14.33203125" style="2" customWidth="1"/>
    <col min="3092" max="3092" width="4" style="2" customWidth="1"/>
    <col min="3093" max="3093" width="14.33203125" style="2" customWidth="1"/>
    <col min="3094" max="3094" width="4" style="2" customWidth="1"/>
    <col min="3095" max="3346" width="7.6640625" style="2" customWidth="1"/>
    <col min="3347" max="3347" width="14.33203125" style="2" customWidth="1"/>
    <col min="3348" max="3348" width="4" style="2" customWidth="1"/>
    <col min="3349" max="3349" width="14.33203125" style="2" customWidth="1"/>
    <col min="3350" max="3350" width="4" style="2" customWidth="1"/>
    <col min="3351" max="3602" width="7.6640625" style="2" customWidth="1"/>
    <col min="3603" max="3603" width="14.33203125" style="2" customWidth="1"/>
    <col min="3604" max="3604" width="4" style="2" customWidth="1"/>
    <col min="3605" max="3605" width="14.33203125" style="2" customWidth="1"/>
    <col min="3606" max="3606" width="4" style="2" customWidth="1"/>
    <col min="3607" max="3858" width="7.6640625" style="2" customWidth="1"/>
    <col min="3859" max="3859" width="14.33203125" style="2" customWidth="1"/>
    <col min="3860" max="3860" width="4" style="2" customWidth="1"/>
    <col min="3861" max="3861" width="14.33203125" style="2" customWidth="1"/>
    <col min="3862" max="3862" width="4" style="2" customWidth="1"/>
    <col min="3863" max="4114" width="7.6640625" style="2" customWidth="1"/>
    <col min="4115" max="4115" width="14.33203125" style="2" customWidth="1"/>
    <col min="4116" max="4116" width="4" style="2" customWidth="1"/>
    <col min="4117" max="4117" width="14.33203125" style="2" customWidth="1"/>
    <col min="4118" max="4118" width="4" style="2" customWidth="1"/>
    <col min="4119" max="4370" width="7.6640625" style="2" customWidth="1"/>
    <col min="4371" max="4371" width="14.33203125" style="2" customWidth="1"/>
    <col min="4372" max="4372" width="4" style="2" customWidth="1"/>
    <col min="4373" max="4373" width="14.33203125" style="2" customWidth="1"/>
    <col min="4374" max="4374" width="4" style="2" customWidth="1"/>
    <col min="4375" max="4626" width="7.6640625" style="2" customWidth="1"/>
    <col min="4627" max="4627" width="14.33203125" style="2" customWidth="1"/>
    <col min="4628" max="4628" width="4" style="2" customWidth="1"/>
    <col min="4629" max="4629" width="14.33203125" style="2" customWidth="1"/>
    <col min="4630" max="4630" width="4" style="2" customWidth="1"/>
    <col min="4631" max="4882" width="7.6640625" style="2" customWidth="1"/>
    <col min="4883" max="4883" width="14.33203125" style="2" customWidth="1"/>
    <col min="4884" max="4884" width="4" style="2" customWidth="1"/>
    <col min="4885" max="4885" width="14.33203125" style="2" customWidth="1"/>
    <col min="4886" max="4886" width="4" style="2" customWidth="1"/>
    <col min="4887" max="5138" width="7.6640625" style="2" customWidth="1"/>
    <col min="5139" max="5139" width="14.33203125" style="2" customWidth="1"/>
    <col min="5140" max="5140" width="4" style="2" customWidth="1"/>
    <col min="5141" max="5141" width="14.33203125" style="2" customWidth="1"/>
    <col min="5142" max="5142" width="4" style="2" customWidth="1"/>
    <col min="5143" max="5394" width="7.6640625" style="2" customWidth="1"/>
    <col min="5395" max="5395" width="14.33203125" style="2" customWidth="1"/>
    <col min="5396" max="5396" width="4" style="2" customWidth="1"/>
    <col min="5397" max="5397" width="14.33203125" style="2" customWidth="1"/>
    <col min="5398" max="5398" width="4" style="2" customWidth="1"/>
    <col min="5399" max="5650" width="7.6640625" style="2" customWidth="1"/>
    <col min="5651" max="5651" width="14.33203125" style="2" customWidth="1"/>
    <col min="5652" max="5652" width="4" style="2" customWidth="1"/>
    <col min="5653" max="5653" width="14.33203125" style="2" customWidth="1"/>
    <col min="5654" max="5654" width="4" style="2" customWidth="1"/>
    <col min="5655" max="5906" width="7.6640625" style="2" customWidth="1"/>
    <col min="5907" max="5907" width="14.33203125" style="2" customWidth="1"/>
    <col min="5908" max="5908" width="4" style="2" customWidth="1"/>
    <col min="5909" max="5909" width="14.33203125" style="2" customWidth="1"/>
    <col min="5910" max="5910" width="4" style="2" customWidth="1"/>
    <col min="5911" max="6162" width="7.6640625" style="2" customWidth="1"/>
    <col min="6163" max="6163" width="14.33203125" style="2" customWidth="1"/>
    <col min="6164" max="6164" width="4" style="2" customWidth="1"/>
    <col min="6165" max="6165" width="14.33203125" style="2" customWidth="1"/>
    <col min="6166" max="6166" width="4" style="2" customWidth="1"/>
    <col min="6167" max="6418" width="7.6640625" style="2" customWidth="1"/>
    <col min="6419" max="6419" width="14.33203125" style="2" customWidth="1"/>
    <col min="6420" max="6420" width="4" style="2" customWidth="1"/>
    <col min="6421" max="6421" width="14.33203125" style="2" customWidth="1"/>
    <col min="6422" max="6422" width="4" style="2" customWidth="1"/>
    <col min="6423" max="6674" width="7.6640625" style="2" customWidth="1"/>
    <col min="6675" max="6675" width="14.33203125" style="2" customWidth="1"/>
    <col min="6676" max="6676" width="4" style="2" customWidth="1"/>
    <col min="6677" max="6677" width="14.33203125" style="2" customWidth="1"/>
    <col min="6678" max="6678" width="4" style="2" customWidth="1"/>
    <col min="6679" max="6930" width="7.6640625" style="2" customWidth="1"/>
    <col min="6931" max="6931" width="14.33203125" style="2" customWidth="1"/>
    <col min="6932" max="6932" width="4" style="2" customWidth="1"/>
    <col min="6933" max="6933" width="14.33203125" style="2" customWidth="1"/>
    <col min="6934" max="6934" width="4" style="2" customWidth="1"/>
    <col min="6935" max="7186" width="7.6640625" style="2" customWidth="1"/>
    <col min="7187" max="7187" width="14.33203125" style="2" customWidth="1"/>
    <col min="7188" max="7188" width="4" style="2" customWidth="1"/>
    <col min="7189" max="7189" width="14.33203125" style="2" customWidth="1"/>
    <col min="7190" max="7190" width="4" style="2" customWidth="1"/>
    <col min="7191" max="7442" width="7.6640625" style="2" customWidth="1"/>
    <col min="7443" max="7443" width="14.33203125" style="2" customWidth="1"/>
    <col min="7444" max="7444" width="4" style="2" customWidth="1"/>
    <col min="7445" max="7445" width="14.33203125" style="2" customWidth="1"/>
    <col min="7446" max="7446" width="4" style="2" customWidth="1"/>
    <col min="7447" max="7698" width="7.6640625" style="2" customWidth="1"/>
    <col min="7699" max="7699" width="14.33203125" style="2" customWidth="1"/>
    <col min="7700" max="7700" width="4" style="2" customWidth="1"/>
    <col min="7701" max="7701" width="14.33203125" style="2" customWidth="1"/>
    <col min="7702" max="7702" width="4" style="2" customWidth="1"/>
    <col min="7703" max="7954" width="7.6640625" style="2" customWidth="1"/>
    <col min="7955" max="7955" width="14.33203125" style="2" customWidth="1"/>
    <col min="7956" max="7956" width="4" style="2" customWidth="1"/>
    <col min="7957" max="7957" width="14.33203125" style="2" customWidth="1"/>
    <col min="7958" max="7958" width="4" style="2" customWidth="1"/>
    <col min="7959" max="8210" width="7.6640625" style="2" customWidth="1"/>
    <col min="8211" max="8211" width="14.33203125" style="2" customWidth="1"/>
    <col min="8212" max="8212" width="4" style="2" customWidth="1"/>
    <col min="8213" max="8213" width="14.33203125" style="2" customWidth="1"/>
    <col min="8214" max="8214" width="4" style="2" customWidth="1"/>
    <col min="8215" max="8466" width="7.6640625" style="2" customWidth="1"/>
    <col min="8467" max="8467" width="14.33203125" style="2" customWidth="1"/>
    <col min="8468" max="8468" width="4" style="2" customWidth="1"/>
    <col min="8469" max="8469" width="14.33203125" style="2" customWidth="1"/>
    <col min="8470" max="8470" width="4" style="2" customWidth="1"/>
    <col min="8471" max="8722" width="7.6640625" style="2" customWidth="1"/>
    <col min="8723" max="8723" width="14.33203125" style="2" customWidth="1"/>
    <col min="8724" max="8724" width="4" style="2" customWidth="1"/>
    <col min="8725" max="8725" width="14.33203125" style="2" customWidth="1"/>
    <col min="8726" max="8726" width="4" style="2" customWidth="1"/>
    <col min="8727" max="8978" width="7.6640625" style="2" customWidth="1"/>
    <col min="8979" max="8979" width="14.33203125" style="2" customWidth="1"/>
    <col min="8980" max="8980" width="4" style="2" customWidth="1"/>
    <col min="8981" max="8981" width="14.33203125" style="2" customWidth="1"/>
    <col min="8982" max="8982" width="4" style="2" customWidth="1"/>
    <col min="8983" max="9234" width="7.6640625" style="2" customWidth="1"/>
    <col min="9235" max="9235" width="14.33203125" style="2" customWidth="1"/>
    <col min="9236" max="9236" width="4" style="2" customWidth="1"/>
    <col min="9237" max="9237" width="14.33203125" style="2" customWidth="1"/>
    <col min="9238" max="9238" width="4" style="2" customWidth="1"/>
    <col min="9239" max="9490" width="7.6640625" style="2" customWidth="1"/>
    <col min="9491" max="9491" width="14.33203125" style="2" customWidth="1"/>
    <col min="9492" max="9492" width="4" style="2" customWidth="1"/>
    <col min="9493" max="9493" width="14.33203125" style="2" customWidth="1"/>
    <col min="9494" max="9494" width="4" style="2" customWidth="1"/>
    <col min="9495" max="9746" width="7.6640625" style="2" customWidth="1"/>
    <col min="9747" max="9747" width="14.33203125" style="2" customWidth="1"/>
    <col min="9748" max="9748" width="4" style="2" customWidth="1"/>
    <col min="9749" max="9749" width="14.33203125" style="2" customWidth="1"/>
    <col min="9750" max="9750" width="4" style="2" customWidth="1"/>
    <col min="9751" max="10002" width="7.6640625" style="2" customWidth="1"/>
    <col min="10003" max="10003" width="14.33203125" style="2" customWidth="1"/>
    <col min="10004" max="10004" width="4" style="2" customWidth="1"/>
    <col min="10005" max="10005" width="14.33203125" style="2" customWidth="1"/>
    <col min="10006" max="10006" width="4" style="2" customWidth="1"/>
    <col min="10007" max="10258" width="7.6640625" style="2" customWidth="1"/>
    <col min="10259" max="10259" width="14.33203125" style="2" customWidth="1"/>
    <col min="10260" max="10260" width="4" style="2" customWidth="1"/>
    <col min="10261" max="10261" width="14.33203125" style="2" customWidth="1"/>
    <col min="10262" max="10262" width="4" style="2" customWidth="1"/>
    <col min="10263" max="10514" width="7.6640625" style="2" customWidth="1"/>
    <col min="10515" max="10515" width="14.33203125" style="2" customWidth="1"/>
    <col min="10516" max="10516" width="4" style="2" customWidth="1"/>
    <col min="10517" max="10517" width="14.33203125" style="2" customWidth="1"/>
    <col min="10518" max="10518" width="4" style="2" customWidth="1"/>
    <col min="10519" max="10770" width="7.6640625" style="2" customWidth="1"/>
    <col min="10771" max="10771" width="14.33203125" style="2" customWidth="1"/>
    <col min="10772" max="10772" width="4" style="2" customWidth="1"/>
    <col min="10773" max="10773" width="14.33203125" style="2" customWidth="1"/>
    <col min="10774" max="10774" width="4" style="2" customWidth="1"/>
    <col min="10775" max="11026" width="7.6640625" style="2" customWidth="1"/>
    <col min="11027" max="11027" width="14.33203125" style="2" customWidth="1"/>
    <col min="11028" max="11028" width="4" style="2" customWidth="1"/>
    <col min="11029" max="11029" width="14.33203125" style="2" customWidth="1"/>
    <col min="11030" max="11030" width="4" style="2" customWidth="1"/>
    <col min="11031" max="11282" width="7.6640625" style="2" customWidth="1"/>
    <col min="11283" max="11283" width="14.33203125" style="2" customWidth="1"/>
    <col min="11284" max="11284" width="4" style="2" customWidth="1"/>
    <col min="11285" max="11285" width="14.33203125" style="2" customWidth="1"/>
    <col min="11286" max="11286" width="4" style="2" customWidth="1"/>
    <col min="11287" max="11538" width="7.6640625" style="2" customWidth="1"/>
    <col min="11539" max="11539" width="14.33203125" style="2" customWidth="1"/>
    <col min="11540" max="11540" width="4" style="2" customWidth="1"/>
    <col min="11541" max="11541" width="14.33203125" style="2" customWidth="1"/>
    <col min="11542" max="11542" width="4" style="2" customWidth="1"/>
    <col min="11543" max="11794" width="7.6640625" style="2" customWidth="1"/>
    <col min="11795" max="11795" width="14.33203125" style="2" customWidth="1"/>
    <col min="11796" max="11796" width="4" style="2" customWidth="1"/>
    <col min="11797" max="11797" width="14.33203125" style="2" customWidth="1"/>
    <col min="11798" max="11798" width="4" style="2" customWidth="1"/>
    <col min="11799" max="12050" width="7.6640625" style="2" customWidth="1"/>
    <col min="12051" max="12051" width="14.33203125" style="2" customWidth="1"/>
    <col min="12052" max="12052" width="4" style="2" customWidth="1"/>
    <col min="12053" max="12053" width="14.33203125" style="2" customWidth="1"/>
    <col min="12054" max="12054" width="4" style="2" customWidth="1"/>
    <col min="12055" max="12306" width="7.6640625" style="2" customWidth="1"/>
    <col min="12307" max="12307" width="14.33203125" style="2" customWidth="1"/>
    <col min="12308" max="12308" width="4" style="2" customWidth="1"/>
    <col min="12309" max="12309" width="14.33203125" style="2" customWidth="1"/>
    <col min="12310" max="12310" width="4" style="2" customWidth="1"/>
    <col min="12311" max="12562" width="7.6640625" style="2" customWidth="1"/>
    <col min="12563" max="12563" width="14.33203125" style="2" customWidth="1"/>
    <col min="12564" max="12564" width="4" style="2" customWidth="1"/>
    <col min="12565" max="12565" width="14.33203125" style="2" customWidth="1"/>
    <col min="12566" max="12566" width="4" style="2" customWidth="1"/>
    <col min="12567" max="12818" width="7.6640625" style="2" customWidth="1"/>
    <col min="12819" max="12819" width="14.33203125" style="2" customWidth="1"/>
    <col min="12820" max="12820" width="4" style="2" customWidth="1"/>
    <col min="12821" max="12821" width="14.33203125" style="2" customWidth="1"/>
    <col min="12822" max="12822" width="4" style="2" customWidth="1"/>
    <col min="12823" max="13074" width="7.6640625" style="2" customWidth="1"/>
    <col min="13075" max="13075" width="14.33203125" style="2" customWidth="1"/>
    <col min="13076" max="13076" width="4" style="2" customWidth="1"/>
    <col min="13077" max="13077" width="14.33203125" style="2" customWidth="1"/>
    <col min="13078" max="13078" width="4" style="2" customWidth="1"/>
    <col min="13079" max="13330" width="7.6640625" style="2" customWidth="1"/>
    <col min="13331" max="13331" width="14.33203125" style="2" customWidth="1"/>
    <col min="13332" max="13332" width="4" style="2" customWidth="1"/>
    <col min="13333" max="13333" width="14.33203125" style="2" customWidth="1"/>
    <col min="13334" max="13334" width="4" style="2" customWidth="1"/>
    <col min="13335" max="13586" width="7.6640625" style="2" customWidth="1"/>
    <col min="13587" max="13587" width="14.33203125" style="2" customWidth="1"/>
    <col min="13588" max="13588" width="4" style="2" customWidth="1"/>
    <col min="13589" max="13589" width="14.33203125" style="2" customWidth="1"/>
    <col min="13590" max="13590" width="4" style="2" customWidth="1"/>
    <col min="13591" max="13842" width="7.6640625" style="2" customWidth="1"/>
    <col min="13843" max="13843" width="14.33203125" style="2" customWidth="1"/>
    <col min="13844" max="13844" width="4" style="2" customWidth="1"/>
    <col min="13845" max="13845" width="14.33203125" style="2" customWidth="1"/>
    <col min="13846" max="13846" width="4" style="2" customWidth="1"/>
    <col min="13847" max="14098" width="7.6640625" style="2" customWidth="1"/>
    <col min="14099" max="14099" width="14.33203125" style="2" customWidth="1"/>
    <col min="14100" max="14100" width="4" style="2" customWidth="1"/>
    <col min="14101" max="14101" width="14.33203125" style="2" customWidth="1"/>
    <col min="14102" max="14102" width="4" style="2" customWidth="1"/>
    <col min="14103" max="14354" width="7.6640625" style="2" customWidth="1"/>
    <col min="14355" max="14355" width="14.33203125" style="2" customWidth="1"/>
    <col min="14356" max="14356" width="4" style="2" customWidth="1"/>
    <col min="14357" max="14357" width="14.33203125" style="2" customWidth="1"/>
    <col min="14358" max="14358" width="4" style="2" customWidth="1"/>
    <col min="14359" max="14610" width="7.6640625" style="2" customWidth="1"/>
    <col min="14611" max="14611" width="14.33203125" style="2" customWidth="1"/>
    <col min="14612" max="14612" width="4" style="2" customWidth="1"/>
    <col min="14613" max="14613" width="14.33203125" style="2" customWidth="1"/>
    <col min="14614" max="14614" width="4" style="2" customWidth="1"/>
    <col min="14615" max="14866" width="7.6640625" style="2" customWidth="1"/>
    <col min="14867" max="14867" width="14.33203125" style="2" customWidth="1"/>
    <col min="14868" max="14868" width="4" style="2" customWidth="1"/>
    <col min="14869" max="14869" width="14.33203125" style="2" customWidth="1"/>
    <col min="14870" max="14870" width="4" style="2" customWidth="1"/>
    <col min="14871" max="15122" width="7.6640625" style="2" customWidth="1"/>
    <col min="15123" max="15123" width="14.33203125" style="2" customWidth="1"/>
    <col min="15124" max="15124" width="4" style="2" customWidth="1"/>
    <col min="15125" max="15125" width="14.33203125" style="2" customWidth="1"/>
    <col min="15126" max="15126" width="4" style="2" customWidth="1"/>
    <col min="15127" max="15378" width="7.6640625" style="2" customWidth="1"/>
    <col min="15379" max="15379" width="14.33203125" style="2" customWidth="1"/>
    <col min="15380" max="15380" width="4" style="2" customWidth="1"/>
    <col min="15381" max="15381" width="14.33203125" style="2" customWidth="1"/>
    <col min="15382" max="15382" width="4" style="2" customWidth="1"/>
    <col min="15383" max="15634" width="7.6640625" style="2" customWidth="1"/>
    <col min="15635" max="15635" width="14.33203125" style="2" customWidth="1"/>
    <col min="15636" max="15636" width="4" style="2" customWidth="1"/>
    <col min="15637" max="15637" width="14.33203125" style="2" customWidth="1"/>
    <col min="15638" max="15638" width="4" style="2" customWidth="1"/>
    <col min="15639" max="15890" width="7.6640625" style="2" customWidth="1"/>
    <col min="15891" max="15891" width="14.33203125" style="2" customWidth="1"/>
    <col min="15892" max="15892" width="4" style="2" customWidth="1"/>
    <col min="15893" max="15893" width="14.33203125" style="2" customWidth="1"/>
    <col min="15894" max="15894" width="4" style="2" customWidth="1"/>
    <col min="15895" max="16146" width="7.6640625" style="2" customWidth="1"/>
    <col min="16147" max="16147" width="14.33203125" style="2" customWidth="1"/>
    <col min="16148" max="16148" width="4" style="2" customWidth="1"/>
    <col min="16149" max="16149" width="14.33203125" style="2" customWidth="1"/>
    <col min="16150" max="16150" width="4" style="2" customWidth="1"/>
    <col min="16151" max="16384" width="7.6640625" style="2" customWidth="1"/>
  </cols>
  <sheetData>
    <row r="1" spans="1:27" ht="15" customHeight="1" x14ac:dyDescent="0.3">
      <c r="A1" s="85"/>
      <c r="B1" s="86"/>
      <c r="C1" s="86"/>
      <c r="D1" s="86"/>
      <c r="E1" s="86"/>
      <c r="F1" s="86"/>
      <c r="G1" s="86"/>
      <c r="H1" s="86"/>
      <c r="I1" s="86"/>
      <c r="J1" s="86"/>
      <c r="K1" s="86"/>
      <c r="L1" s="86"/>
      <c r="M1" s="86"/>
      <c r="N1" s="86"/>
      <c r="O1" s="86"/>
      <c r="P1" s="86"/>
      <c r="Q1" s="86"/>
      <c r="R1" s="86"/>
      <c r="S1" s="86"/>
      <c r="T1" s="86"/>
      <c r="U1" s="86"/>
      <c r="V1" s="86"/>
      <c r="W1" s="86"/>
      <c r="X1" s="86"/>
      <c r="Y1" s="86"/>
      <c r="Z1" s="86"/>
      <c r="AA1" s="85"/>
    </row>
    <row r="2" spans="1:27" ht="15" customHeight="1" x14ac:dyDescent="0.3">
      <c r="A2" s="79"/>
      <c r="B2" s="589" t="s">
        <v>27</v>
      </c>
      <c r="C2" s="10"/>
      <c r="D2" s="10"/>
      <c r="E2" s="10"/>
      <c r="F2" s="3"/>
      <c r="G2" s="3"/>
      <c r="H2" s="3"/>
      <c r="I2" s="3"/>
      <c r="J2" s="3"/>
      <c r="K2" s="3"/>
      <c r="L2" s="3"/>
      <c r="M2" s="3"/>
      <c r="N2" s="3"/>
      <c r="O2" s="3"/>
      <c r="P2" s="3"/>
      <c r="Q2" s="3"/>
      <c r="R2" s="3"/>
      <c r="S2" s="3"/>
      <c r="T2" s="3"/>
      <c r="U2" s="3"/>
      <c r="V2" s="3"/>
      <c r="W2" s="3"/>
      <c r="X2" s="3"/>
      <c r="Y2" s="3"/>
      <c r="Z2" s="3"/>
      <c r="AA2" s="79"/>
    </row>
    <row r="3" spans="1:27" ht="15" customHeight="1" x14ac:dyDescent="0.3">
      <c r="A3" s="79"/>
      <c r="B3" s="615" t="s">
        <v>48</v>
      </c>
      <c r="C3" s="3"/>
      <c r="D3" s="3"/>
      <c r="E3" s="3"/>
      <c r="F3" s="3"/>
      <c r="G3" s="3"/>
      <c r="H3" s="3"/>
      <c r="I3" s="3"/>
      <c r="J3" s="3"/>
      <c r="K3" s="3"/>
      <c r="L3" s="3"/>
      <c r="M3" s="3"/>
      <c r="N3" s="3"/>
      <c r="O3" s="3"/>
      <c r="P3" s="3"/>
      <c r="Q3" s="3"/>
      <c r="R3" s="3"/>
      <c r="S3" s="3"/>
      <c r="T3" s="3"/>
      <c r="U3" s="3"/>
      <c r="V3" s="3"/>
      <c r="W3" s="3"/>
      <c r="X3" s="3"/>
      <c r="Y3" s="3"/>
      <c r="Z3" s="3"/>
      <c r="AA3" s="79"/>
    </row>
    <row r="4" spans="1:27" s="16" customFormat="1" ht="15" customHeight="1" x14ac:dyDescent="0.3">
      <c r="A4" s="79"/>
      <c r="B4" s="277"/>
      <c r="C4" s="26"/>
      <c r="D4" s="26"/>
      <c r="E4" s="26"/>
      <c r="F4" s="26"/>
      <c r="G4" s="26"/>
      <c r="H4" s="3"/>
      <c r="I4" s="3"/>
      <c r="J4" s="61"/>
      <c r="K4" s="61"/>
      <c r="L4" s="61"/>
      <c r="M4" s="61"/>
      <c r="N4" s="61"/>
      <c r="O4" s="61"/>
      <c r="P4" s="61"/>
      <c r="Q4" s="61"/>
      <c r="R4" s="61"/>
      <c r="S4" s="61"/>
      <c r="T4" s="61"/>
      <c r="U4" s="61"/>
      <c r="V4" s="61"/>
      <c r="W4" s="61"/>
      <c r="X4" s="61"/>
      <c r="Y4" s="61"/>
      <c r="Z4" s="79"/>
      <c r="AA4" s="79"/>
    </row>
    <row r="5" spans="1:27" s="16" customFormat="1" ht="15" customHeight="1" x14ac:dyDescent="0.3">
      <c r="A5" s="79"/>
      <c r="B5" s="881" t="s">
        <v>492</v>
      </c>
      <c r="C5" s="26"/>
      <c r="D5" s="26"/>
      <c r="E5" s="26"/>
      <c r="F5" s="26"/>
      <c r="G5" s="26"/>
      <c r="H5" s="3"/>
      <c r="I5" s="3"/>
      <c r="J5" s="882"/>
      <c r="K5" s="61"/>
      <c r="L5" s="61"/>
      <c r="M5" s="61"/>
      <c r="N5" s="61"/>
      <c r="O5" s="61"/>
      <c r="P5" s="61"/>
      <c r="Q5" s="61"/>
      <c r="R5" s="61"/>
      <c r="S5" s="61"/>
      <c r="T5" s="61"/>
      <c r="U5" s="61"/>
      <c r="V5" s="61"/>
      <c r="W5" s="61"/>
      <c r="X5" s="61"/>
      <c r="Y5" s="61"/>
      <c r="Z5" s="79"/>
      <c r="AA5" s="79"/>
    </row>
    <row r="6" spans="1:27" s="16" customFormat="1" ht="15" customHeight="1" x14ac:dyDescent="0.3">
      <c r="A6" s="79"/>
      <c r="B6" s="277"/>
      <c r="C6" s="26"/>
      <c r="D6" s="26"/>
      <c r="E6" s="26"/>
      <c r="F6" s="26"/>
      <c r="G6" s="26"/>
      <c r="H6" s="3"/>
      <c r="I6" s="3"/>
      <c r="J6" s="61"/>
      <c r="K6" s="61"/>
      <c r="L6" s="61"/>
      <c r="M6" s="61"/>
      <c r="N6" s="61"/>
      <c r="O6" s="61"/>
      <c r="P6" s="61"/>
      <c r="Q6" s="61"/>
      <c r="R6" s="61"/>
      <c r="S6" s="61"/>
      <c r="T6" s="61"/>
      <c r="U6" s="61"/>
      <c r="V6" s="61"/>
      <c r="W6" s="61"/>
      <c r="X6" s="61"/>
      <c r="Y6" s="61"/>
      <c r="Z6" s="79"/>
      <c r="AA6" s="79"/>
    </row>
    <row r="7" spans="1:27" s="16" customFormat="1" ht="15" customHeight="1" x14ac:dyDescent="0.3">
      <c r="A7" s="81"/>
      <c r="B7" s="910" t="s">
        <v>471</v>
      </c>
      <c r="C7" s="910"/>
      <c r="D7" s="910"/>
      <c r="E7" s="910"/>
      <c r="F7" s="910"/>
      <c r="G7" s="910"/>
      <c r="H7" s="910"/>
      <c r="I7" s="910"/>
      <c r="J7" s="910"/>
      <c r="K7" s="910"/>
      <c r="L7" s="910"/>
      <c r="M7" s="910"/>
      <c r="N7" s="910"/>
      <c r="O7" s="910"/>
      <c r="P7" s="910"/>
      <c r="Q7" s="910"/>
      <c r="R7" s="910"/>
      <c r="S7" s="910"/>
      <c r="T7" s="910"/>
      <c r="U7" s="910"/>
      <c r="V7" s="910"/>
      <c r="W7" s="910"/>
      <c r="X7" s="910"/>
      <c r="Y7" s="910"/>
      <c r="Z7" s="79"/>
      <c r="AA7" s="81"/>
    </row>
    <row r="8" spans="1:27" s="16" customFormat="1" ht="96.6" customHeight="1" x14ac:dyDescent="0.3">
      <c r="A8" s="81"/>
      <c r="B8" s="3"/>
      <c r="C8" s="909" t="s">
        <v>476</v>
      </c>
      <c r="D8" s="909"/>
      <c r="E8" s="909"/>
      <c r="F8" s="909"/>
      <c r="G8" s="909"/>
      <c r="H8" s="909"/>
      <c r="I8" s="909"/>
      <c r="J8" s="909"/>
      <c r="K8" s="909"/>
      <c r="L8" s="909"/>
      <c r="M8" s="909"/>
      <c r="N8" s="909"/>
      <c r="O8" s="909"/>
      <c r="P8" s="909"/>
      <c r="Q8" s="909"/>
      <c r="R8" s="909"/>
      <c r="S8" s="909"/>
      <c r="T8" s="909"/>
      <c r="U8" s="909"/>
      <c r="V8" s="909"/>
      <c r="W8" s="909"/>
      <c r="X8" s="909"/>
      <c r="Y8" s="909"/>
      <c r="Z8" s="909"/>
      <c r="AA8" s="81"/>
    </row>
    <row r="9" spans="1:27" s="16" customFormat="1" ht="15" customHeight="1" x14ac:dyDescent="0.3">
      <c r="A9" s="81"/>
      <c r="B9" s="3"/>
      <c r="C9" s="874"/>
      <c r="D9" s="874"/>
      <c r="E9" s="874"/>
      <c r="F9" s="874"/>
      <c r="G9" s="874"/>
      <c r="H9" s="874"/>
      <c r="I9" s="874"/>
      <c r="J9" s="874"/>
      <c r="K9" s="874"/>
      <c r="L9" s="874"/>
      <c r="M9" s="874"/>
      <c r="N9" s="874"/>
      <c r="O9" s="874"/>
      <c r="P9" s="874"/>
      <c r="Q9" s="874"/>
      <c r="R9" s="874"/>
      <c r="S9" s="874"/>
      <c r="T9" s="874"/>
      <c r="U9" s="874"/>
      <c r="V9" s="874"/>
      <c r="W9" s="874"/>
      <c r="X9" s="874"/>
      <c r="Y9" s="874"/>
      <c r="Z9" s="874"/>
      <c r="AA9" s="81"/>
    </row>
    <row r="10" spans="1:27" s="16" customFormat="1" ht="15" customHeight="1" x14ac:dyDescent="0.3">
      <c r="A10" s="81"/>
      <c r="B10" s="910" t="s">
        <v>472</v>
      </c>
      <c r="C10" s="910"/>
      <c r="D10" s="910"/>
      <c r="E10" s="910"/>
      <c r="F10" s="910"/>
      <c r="G10" s="910"/>
      <c r="H10" s="910"/>
      <c r="I10" s="910"/>
      <c r="J10" s="910"/>
      <c r="K10" s="910"/>
      <c r="L10" s="910"/>
      <c r="M10" s="910"/>
      <c r="N10" s="910"/>
      <c r="O10" s="910"/>
      <c r="P10" s="910"/>
      <c r="Q10" s="910"/>
      <c r="R10" s="910"/>
      <c r="S10" s="910"/>
      <c r="T10" s="910"/>
      <c r="U10" s="910"/>
      <c r="V10" s="910"/>
      <c r="W10" s="910"/>
      <c r="X10" s="910"/>
      <c r="Y10" s="910"/>
      <c r="Z10" s="79"/>
      <c r="AA10" s="81"/>
    </row>
    <row r="11" spans="1:27" s="16" customFormat="1" ht="54" customHeight="1" x14ac:dyDescent="0.3">
      <c r="A11" s="81"/>
      <c r="B11" s="3"/>
      <c r="C11" s="917" t="s">
        <v>477</v>
      </c>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81"/>
    </row>
    <row r="12" spans="1:27" s="16" customFormat="1" ht="13.8" customHeight="1" x14ac:dyDescent="0.3">
      <c r="A12" s="81"/>
      <c r="B12" s="3"/>
      <c r="C12" s="870"/>
      <c r="D12" s="870"/>
      <c r="E12" s="870"/>
      <c r="F12" s="870"/>
      <c r="G12" s="870"/>
      <c r="H12" s="870"/>
      <c r="I12" s="870"/>
      <c r="J12" s="870"/>
      <c r="K12" s="870"/>
      <c r="L12" s="870"/>
      <c r="M12" s="870"/>
      <c r="N12" s="870"/>
      <c r="O12" s="870"/>
      <c r="P12" s="870"/>
      <c r="Q12" s="870"/>
      <c r="R12" s="870"/>
      <c r="S12" s="870"/>
      <c r="T12" s="870"/>
      <c r="U12" s="870"/>
      <c r="V12" s="870"/>
      <c r="W12" s="870"/>
      <c r="X12" s="870"/>
      <c r="Y12" s="870"/>
      <c r="Z12" s="870"/>
      <c r="AA12" s="81"/>
    </row>
    <row r="13" spans="1:27" s="16" customFormat="1" ht="15" customHeight="1" x14ac:dyDescent="0.3">
      <c r="A13" s="81"/>
      <c r="B13" s="910" t="s">
        <v>3</v>
      </c>
      <c r="C13" s="910"/>
      <c r="D13" s="910"/>
      <c r="E13" s="910"/>
      <c r="F13" s="910"/>
      <c r="G13" s="910"/>
      <c r="H13" s="910"/>
      <c r="I13" s="910"/>
      <c r="J13" s="910"/>
      <c r="K13" s="910"/>
      <c r="L13" s="910"/>
      <c r="M13" s="910"/>
      <c r="N13" s="910"/>
      <c r="O13" s="910"/>
      <c r="P13" s="910"/>
      <c r="Q13" s="910"/>
      <c r="R13" s="910"/>
      <c r="S13" s="910"/>
      <c r="T13" s="910"/>
      <c r="U13" s="910"/>
      <c r="V13" s="910"/>
      <c r="W13" s="910"/>
      <c r="X13" s="910"/>
      <c r="Y13" s="910"/>
      <c r="Z13" s="79"/>
      <c r="AA13" s="81"/>
    </row>
    <row r="14" spans="1:27" s="16" customFormat="1" ht="127.2" customHeight="1" x14ac:dyDescent="0.3">
      <c r="A14" s="81"/>
      <c r="B14" s="3"/>
      <c r="C14" s="917" t="s">
        <v>478</v>
      </c>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81"/>
    </row>
    <row r="15" spans="1:27" s="16" customFormat="1" ht="13.2" x14ac:dyDescent="0.3">
      <c r="A15" s="81"/>
      <c r="B15" s="3"/>
      <c r="C15" s="866"/>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1"/>
    </row>
    <row r="16" spans="1:27" s="16" customFormat="1" ht="13.2" x14ac:dyDescent="0.3">
      <c r="A16" s="81"/>
      <c r="B16" s="3"/>
      <c r="C16" s="866"/>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1"/>
    </row>
    <row r="17" spans="1:27" s="16" customFormat="1" ht="13.2" x14ac:dyDescent="0.3">
      <c r="A17" s="590"/>
      <c r="B17" s="15"/>
      <c r="C17" s="875"/>
      <c r="D17" s="875"/>
      <c r="E17" s="875"/>
      <c r="F17" s="875"/>
      <c r="G17" s="875"/>
      <c r="H17" s="875"/>
      <c r="I17" s="875"/>
      <c r="J17" s="875"/>
      <c r="K17" s="875"/>
      <c r="L17" s="875"/>
      <c r="M17" s="875"/>
      <c r="N17" s="875"/>
      <c r="O17" s="875"/>
      <c r="P17" s="875"/>
      <c r="Q17" s="875"/>
      <c r="R17" s="875"/>
      <c r="S17" s="875"/>
      <c r="T17" s="875"/>
      <c r="U17" s="875"/>
      <c r="V17" s="875"/>
      <c r="W17" s="875"/>
      <c r="X17" s="875"/>
      <c r="Y17" s="875"/>
      <c r="Z17" s="875"/>
      <c r="AA17" s="590"/>
    </row>
    <row r="18" spans="1:27" s="16" customFormat="1" ht="13.2" x14ac:dyDescent="0.3">
      <c r="A18" s="39"/>
      <c r="B18" s="1"/>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39"/>
    </row>
    <row r="19" spans="1:27" s="16" customFormat="1" ht="15" customHeight="1" x14ac:dyDescent="0.3">
      <c r="A19" s="81"/>
      <c r="B19" s="910" t="s">
        <v>473</v>
      </c>
      <c r="C19" s="910"/>
      <c r="D19" s="910"/>
      <c r="E19" s="910"/>
      <c r="F19" s="910"/>
      <c r="G19" s="910"/>
      <c r="H19" s="910"/>
      <c r="I19" s="910"/>
      <c r="J19" s="910"/>
      <c r="K19" s="910"/>
      <c r="L19" s="910"/>
      <c r="M19" s="910"/>
      <c r="N19" s="910"/>
      <c r="O19" s="910"/>
      <c r="P19" s="910"/>
      <c r="Q19" s="910"/>
      <c r="R19" s="910"/>
      <c r="S19" s="910"/>
      <c r="T19" s="910"/>
      <c r="U19" s="910"/>
      <c r="V19" s="910"/>
      <c r="W19" s="910"/>
      <c r="X19" s="910"/>
      <c r="Y19" s="910"/>
      <c r="Z19" s="79"/>
      <c r="AA19" s="81"/>
    </row>
    <row r="20" spans="1:27" s="16" customFormat="1" ht="148.19999999999999" customHeight="1" x14ac:dyDescent="0.3">
      <c r="A20" s="81"/>
      <c r="B20" s="3"/>
      <c r="C20" s="917" t="s">
        <v>479</v>
      </c>
      <c r="D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873"/>
    </row>
    <row r="21" spans="1:27" s="16" customFormat="1" ht="15" customHeight="1" x14ac:dyDescent="0.3">
      <c r="A21" s="81"/>
      <c r="B21" s="3"/>
      <c r="C21" s="874"/>
      <c r="D21" s="874"/>
      <c r="E21" s="874"/>
      <c r="F21" s="874"/>
      <c r="G21" s="874"/>
      <c r="H21" s="874"/>
      <c r="I21" s="874"/>
      <c r="J21" s="874"/>
      <c r="K21" s="874"/>
      <c r="L21" s="874"/>
      <c r="M21" s="874"/>
      <c r="N21" s="874"/>
      <c r="O21" s="874"/>
      <c r="P21" s="874"/>
      <c r="Q21" s="874"/>
      <c r="R21" s="874"/>
      <c r="S21" s="874"/>
      <c r="T21" s="874"/>
      <c r="U21" s="874"/>
      <c r="V21" s="874"/>
      <c r="W21" s="874"/>
      <c r="X21" s="874"/>
      <c r="Y21" s="874"/>
      <c r="Z21" s="874"/>
      <c r="AA21" s="81"/>
    </row>
    <row r="22" spans="1:27" s="16" customFormat="1" ht="15" customHeight="1" x14ac:dyDescent="0.3">
      <c r="A22" s="81"/>
      <c r="B22" s="910" t="s">
        <v>474</v>
      </c>
      <c r="C22" s="910"/>
      <c r="D22" s="910"/>
      <c r="E22" s="910"/>
      <c r="F22" s="910"/>
      <c r="G22" s="910"/>
      <c r="H22" s="910"/>
      <c r="I22" s="910"/>
      <c r="J22" s="910"/>
      <c r="K22" s="910"/>
      <c r="L22" s="910"/>
      <c r="M22" s="910"/>
      <c r="N22" s="910"/>
      <c r="O22" s="910"/>
      <c r="P22" s="910"/>
      <c r="Q22" s="910"/>
      <c r="R22" s="910"/>
      <c r="S22" s="910"/>
      <c r="T22" s="910"/>
      <c r="U22" s="910"/>
      <c r="V22" s="910"/>
      <c r="W22" s="910"/>
      <c r="X22" s="910"/>
      <c r="Y22" s="910"/>
      <c r="Z22" s="79"/>
      <c r="AA22" s="866"/>
    </row>
    <row r="23" spans="1:27" s="16" customFormat="1" ht="14.4" customHeight="1" x14ac:dyDescent="0.3">
      <c r="A23" s="81"/>
      <c r="B23" s="3"/>
      <c r="C23" s="917" t="s">
        <v>475</v>
      </c>
      <c r="D23" s="918"/>
      <c r="E23" s="918"/>
      <c r="F23" s="918"/>
      <c r="G23" s="918"/>
      <c r="H23" s="918"/>
      <c r="I23" s="918"/>
      <c r="J23" s="918"/>
      <c r="K23" s="918"/>
      <c r="L23" s="918"/>
      <c r="M23" s="918"/>
      <c r="N23" s="918"/>
      <c r="O23" s="918"/>
      <c r="P23" s="918"/>
      <c r="Q23" s="918"/>
      <c r="R23" s="918"/>
      <c r="S23" s="918"/>
      <c r="T23" s="918"/>
      <c r="U23" s="918"/>
      <c r="V23" s="918"/>
      <c r="W23" s="918"/>
      <c r="X23" s="918"/>
      <c r="Y23" s="918"/>
      <c r="Z23" s="918"/>
      <c r="AA23" s="81"/>
    </row>
    <row r="24" spans="1:27" s="16" customFormat="1" ht="15" customHeight="1" x14ac:dyDescent="0.3">
      <c r="A24" s="81"/>
      <c r="B24" s="547"/>
      <c r="C24" s="547"/>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row>
    <row r="25" spans="1:27" s="16" customFormat="1" ht="15" customHeight="1" thickBot="1" x14ac:dyDescent="0.35">
      <c r="A25" s="3"/>
      <c r="B25" s="3"/>
      <c r="C25" s="3"/>
      <c r="D25" s="919" t="s">
        <v>108</v>
      </c>
      <c r="E25" s="919"/>
      <c r="F25" s="919"/>
      <c r="G25" s="919"/>
      <c r="H25" s="919"/>
      <c r="I25" s="919"/>
      <c r="J25" s="919"/>
      <c r="K25" s="919"/>
      <c r="L25" s="919"/>
      <c r="M25" s="919"/>
      <c r="N25" s="919"/>
      <c r="O25" s="919"/>
      <c r="P25" s="3"/>
      <c r="Q25" s="3"/>
      <c r="R25" s="3"/>
      <c r="S25" s="3"/>
      <c r="T25" s="3"/>
      <c r="U25" s="3"/>
      <c r="V25" s="3"/>
      <c r="W25" s="3"/>
      <c r="X25" s="3"/>
      <c r="Y25" s="3"/>
      <c r="Z25" s="79"/>
      <c r="AA25" s="3"/>
    </row>
    <row r="26" spans="1:27" s="16" customFormat="1" ht="15" customHeight="1" thickBot="1" x14ac:dyDescent="0.35">
      <c r="A26" s="3"/>
      <c r="B26" s="3"/>
      <c r="C26" s="3"/>
      <c r="D26" s="920" t="s">
        <v>109</v>
      </c>
      <c r="E26" s="921"/>
      <c r="F26" s="921"/>
      <c r="G26" s="921"/>
      <c r="H26" s="921"/>
      <c r="I26" s="921"/>
      <c r="J26" s="921"/>
      <c r="K26" s="921"/>
      <c r="L26" s="921"/>
      <c r="M26" s="922"/>
      <c r="N26" s="923" t="s">
        <v>110</v>
      </c>
      <c r="O26" s="924"/>
      <c r="P26" s="3"/>
      <c r="Q26" s="3"/>
      <c r="R26" s="3"/>
      <c r="S26" s="3"/>
      <c r="T26" s="3"/>
      <c r="U26" s="3"/>
      <c r="V26" s="3"/>
      <c r="W26" s="3"/>
      <c r="X26" s="3"/>
      <c r="Y26" s="3"/>
      <c r="Z26" s="79"/>
      <c r="AA26" s="3"/>
    </row>
    <row r="27" spans="1:27" s="16" customFormat="1" ht="15" customHeight="1" x14ac:dyDescent="0.3">
      <c r="A27" s="3"/>
      <c r="B27" s="3"/>
      <c r="C27" s="3"/>
      <c r="D27" s="925" t="s">
        <v>496</v>
      </c>
      <c r="E27" s="926"/>
      <c r="F27" s="926"/>
      <c r="G27" s="926"/>
      <c r="H27" s="926"/>
      <c r="I27" s="926"/>
      <c r="J27" s="926"/>
      <c r="K27" s="926"/>
      <c r="L27" s="926"/>
      <c r="M27" s="927"/>
      <c r="N27" s="928">
        <v>0.1</v>
      </c>
      <c r="O27" s="929"/>
      <c r="P27" s="3"/>
      <c r="Q27" s="3"/>
      <c r="R27" s="3"/>
      <c r="S27" s="3"/>
      <c r="T27" s="3"/>
      <c r="U27" s="3"/>
      <c r="V27" s="3"/>
      <c r="W27" s="3"/>
      <c r="X27" s="3"/>
      <c r="Y27" s="3"/>
      <c r="Z27" s="79"/>
      <c r="AA27" s="3"/>
    </row>
    <row r="28" spans="1:27" s="16" customFormat="1" ht="15" customHeight="1" x14ac:dyDescent="0.3">
      <c r="A28" s="79"/>
      <c r="B28" s="3"/>
      <c r="C28" s="3"/>
      <c r="D28" s="932" t="s">
        <v>47</v>
      </c>
      <c r="E28" s="933"/>
      <c r="F28" s="933"/>
      <c r="G28" s="933"/>
      <c r="H28" s="933"/>
      <c r="I28" s="933"/>
      <c r="J28" s="933"/>
      <c r="K28" s="933"/>
      <c r="L28" s="933"/>
      <c r="M28" s="934"/>
      <c r="N28" s="935">
        <v>0.1</v>
      </c>
      <c r="O28" s="936"/>
      <c r="P28" s="3"/>
      <c r="Q28" s="3"/>
      <c r="R28" s="3"/>
      <c r="S28" s="3"/>
      <c r="T28" s="3"/>
      <c r="U28" s="3"/>
      <c r="V28" s="3"/>
      <c r="W28" s="3"/>
      <c r="X28" s="3"/>
      <c r="Y28" s="3"/>
      <c r="Z28" s="79"/>
      <c r="AA28" s="79"/>
    </row>
    <row r="29" spans="1:27" s="16" customFormat="1" ht="15" customHeight="1" thickBot="1" x14ac:dyDescent="0.35">
      <c r="A29" s="79"/>
      <c r="B29" s="3"/>
      <c r="C29" s="3"/>
      <c r="D29" s="912" t="s">
        <v>176</v>
      </c>
      <c r="E29" s="913"/>
      <c r="F29" s="913"/>
      <c r="G29" s="913"/>
      <c r="H29" s="913"/>
      <c r="I29" s="913"/>
      <c r="J29" s="913"/>
      <c r="K29" s="913"/>
      <c r="L29" s="913"/>
      <c r="M29" s="914"/>
      <c r="N29" s="915">
        <v>0.125</v>
      </c>
      <c r="O29" s="916"/>
      <c r="P29" s="3"/>
      <c r="Q29" s="3"/>
      <c r="R29" s="3"/>
      <c r="S29" s="3"/>
      <c r="T29" s="3"/>
      <c r="U29" s="3"/>
      <c r="V29" s="3"/>
      <c r="W29" s="3"/>
      <c r="X29" s="3"/>
      <c r="Y29" s="3"/>
      <c r="Z29" s="79"/>
      <c r="AA29" s="79"/>
    </row>
    <row r="30" spans="1:27" s="16" customFormat="1" ht="15" customHeight="1" x14ac:dyDescent="0.3">
      <c r="A30" s="79"/>
      <c r="B30" s="79"/>
      <c r="C30" s="79"/>
      <c r="D30" s="930" t="s">
        <v>111</v>
      </c>
      <c r="E30" s="930"/>
      <c r="F30" s="930"/>
      <c r="G30" s="930"/>
      <c r="H30" s="930"/>
      <c r="I30" s="930"/>
      <c r="J30" s="930"/>
      <c r="K30" s="930"/>
      <c r="L30" s="930"/>
      <c r="M30" s="930"/>
      <c r="N30" s="931"/>
      <c r="O30" s="931"/>
      <c r="P30" s="79"/>
      <c r="Q30" s="79"/>
      <c r="R30" s="79"/>
      <c r="S30" s="79"/>
      <c r="T30" s="79"/>
      <c r="U30" s="79"/>
      <c r="V30" s="79"/>
      <c r="W30" s="79"/>
      <c r="X30" s="79"/>
      <c r="Y30" s="79"/>
      <c r="Z30" s="79"/>
      <c r="AA30" s="79"/>
    </row>
    <row r="31" spans="1:27" ht="141" customHeight="1" x14ac:dyDescent="0.3">
      <c r="A31" s="3"/>
      <c r="B31" s="3"/>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3"/>
    </row>
    <row r="32" spans="1:27" s="16" customFormat="1" ht="15" customHeight="1" x14ac:dyDescent="0.3">
      <c r="A32" s="590"/>
      <c r="B32" s="15"/>
      <c r="C32" s="877"/>
      <c r="D32" s="877"/>
      <c r="E32" s="877"/>
      <c r="F32" s="877"/>
      <c r="G32" s="877"/>
      <c r="H32" s="877"/>
      <c r="I32" s="877"/>
      <c r="J32" s="877"/>
      <c r="K32" s="877"/>
      <c r="L32" s="877"/>
      <c r="M32" s="877"/>
      <c r="N32" s="877"/>
      <c r="O32" s="877"/>
      <c r="P32" s="877"/>
      <c r="Q32" s="877"/>
      <c r="R32" s="877"/>
      <c r="S32" s="877"/>
      <c r="T32" s="877"/>
      <c r="U32" s="877"/>
      <c r="V32" s="877"/>
      <c r="W32" s="877"/>
      <c r="X32" s="877"/>
      <c r="Y32" s="877"/>
      <c r="Z32" s="877"/>
      <c r="AA32" s="590"/>
    </row>
    <row r="33" spans="1:27" s="16" customFormat="1" ht="15" customHeight="1" x14ac:dyDescent="0.3">
      <c r="A33" s="39"/>
      <c r="B33" s="1"/>
      <c r="C33" s="878"/>
      <c r="D33" s="878"/>
      <c r="E33" s="878"/>
      <c r="F33" s="878"/>
      <c r="G33" s="878"/>
      <c r="H33" s="878"/>
      <c r="I33" s="878"/>
      <c r="J33" s="878"/>
      <c r="K33" s="878"/>
      <c r="L33" s="878"/>
      <c r="M33" s="878"/>
      <c r="N33" s="878"/>
      <c r="O33" s="878"/>
      <c r="P33" s="878"/>
      <c r="Q33" s="878"/>
      <c r="R33" s="878"/>
      <c r="S33" s="878"/>
      <c r="T33" s="878"/>
      <c r="U33" s="878"/>
      <c r="V33" s="878"/>
      <c r="W33" s="878"/>
      <c r="X33" s="878"/>
      <c r="Y33" s="878"/>
      <c r="Z33" s="878"/>
      <c r="AA33" s="39"/>
    </row>
    <row r="34" spans="1:27" ht="154.19999999999999" customHeight="1" x14ac:dyDescent="0.3">
      <c r="A34" s="79"/>
      <c r="B34" s="79"/>
      <c r="C34" s="911" t="s">
        <v>495</v>
      </c>
      <c r="D34" s="911"/>
      <c r="E34" s="911"/>
      <c r="F34" s="911"/>
      <c r="G34" s="911"/>
      <c r="H34" s="911"/>
      <c r="I34" s="911"/>
      <c r="J34" s="911"/>
      <c r="K34" s="911"/>
      <c r="L34" s="911"/>
      <c r="M34" s="911"/>
      <c r="N34" s="911"/>
      <c r="O34" s="911"/>
      <c r="P34" s="911"/>
      <c r="Q34" s="879"/>
      <c r="R34" s="879"/>
      <c r="S34" s="879"/>
      <c r="T34" s="879"/>
      <c r="U34" s="879"/>
      <c r="V34" s="879"/>
      <c r="W34" s="879"/>
      <c r="X34" s="879"/>
      <c r="Y34" s="879"/>
      <c r="Z34" s="879"/>
      <c r="AA34" s="79"/>
    </row>
    <row r="35" spans="1:27" ht="15" customHeight="1" x14ac:dyDescent="0.3">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row>
    <row r="36" spans="1:27" ht="15" customHeight="1" x14ac:dyDescent="0.3">
      <c r="A36" s="3"/>
      <c r="B36" s="910" t="s">
        <v>480</v>
      </c>
      <c r="C36" s="910"/>
      <c r="D36" s="910"/>
      <c r="E36" s="910"/>
      <c r="F36" s="910"/>
      <c r="G36" s="910"/>
      <c r="H36" s="910"/>
      <c r="I36" s="910"/>
      <c r="J36" s="910"/>
      <c r="K36" s="910"/>
      <c r="L36" s="910"/>
      <c r="M36" s="910"/>
      <c r="N36" s="910"/>
      <c r="O36" s="910"/>
      <c r="P36" s="910"/>
      <c r="Q36" s="910"/>
      <c r="R36" s="910"/>
      <c r="S36" s="910"/>
      <c r="T36" s="910"/>
      <c r="U36" s="910"/>
      <c r="V36" s="910"/>
      <c r="W36" s="910"/>
      <c r="X36" s="910"/>
      <c r="Y36" s="910"/>
      <c r="Z36" s="79"/>
      <c r="AA36" s="3"/>
    </row>
    <row r="37" spans="1:27" ht="83.4" customHeight="1" x14ac:dyDescent="0.3">
      <c r="A37" s="3"/>
      <c r="B37" s="3"/>
      <c r="C37" s="909" t="s">
        <v>486</v>
      </c>
      <c r="D37" s="909"/>
      <c r="E37" s="909"/>
      <c r="F37" s="909"/>
      <c r="G37" s="909"/>
      <c r="H37" s="909"/>
      <c r="I37" s="909"/>
      <c r="J37" s="909"/>
      <c r="K37" s="909"/>
      <c r="L37" s="909"/>
      <c r="M37" s="909"/>
      <c r="N37" s="909"/>
      <c r="O37" s="909"/>
      <c r="P37" s="909"/>
      <c r="Q37" s="909"/>
      <c r="R37" s="909"/>
      <c r="S37" s="909"/>
      <c r="T37" s="909"/>
      <c r="U37" s="909"/>
      <c r="V37" s="909"/>
      <c r="W37" s="909"/>
      <c r="X37" s="909"/>
      <c r="Y37" s="909"/>
      <c r="Z37" s="909"/>
      <c r="AA37" s="3"/>
    </row>
    <row r="38" spans="1:27" s="16" customFormat="1" ht="15" customHeight="1" x14ac:dyDescent="0.3">
      <c r="A38" s="81"/>
      <c r="B38" s="3"/>
      <c r="C38" s="874"/>
      <c r="D38" s="874"/>
      <c r="E38" s="874"/>
      <c r="F38" s="874"/>
      <c r="G38" s="874"/>
      <c r="H38" s="874"/>
      <c r="I38" s="874"/>
      <c r="J38" s="874"/>
      <c r="K38" s="874"/>
      <c r="L38" s="874"/>
      <c r="M38" s="874"/>
      <c r="N38" s="874"/>
      <c r="O38" s="874"/>
      <c r="P38" s="874"/>
      <c r="Q38" s="874"/>
      <c r="R38" s="874"/>
      <c r="S38" s="874"/>
      <c r="T38" s="874"/>
      <c r="U38" s="874"/>
      <c r="V38" s="874"/>
      <c r="W38" s="874"/>
      <c r="X38" s="874"/>
      <c r="Y38" s="874"/>
      <c r="Z38" s="874"/>
      <c r="AA38" s="81"/>
    </row>
    <row r="39" spans="1:27" ht="15" customHeight="1" x14ac:dyDescent="0.3">
      <c r="A39" s="3"/>
      <c r="B39" s="910" t="s">
        <v>481</v>
      </c>
      <c r="C39" s="910"/>
      <c r="D39" s="910"/>
      <c r="E39" s="910"/>
      <c r="F39" s="910"/>
      <c r="G39" s="910"/>
      <c r="H39" s="910"/>
      <c r="I39" s="910"/>
      <c r="J39" s="910"/>
      <c r="K39" s="910"/>
      <c r="L39" s="910"/>
      <c r="M39" s="910"/>
      <c r="N39" s="910"/>
      <c r="O39" s="910"/>
      <c r="P39" s="910"/>
      <c r="Q39" s="910"/>
      <c r="R39" s="910"/>
      <c r="S39" s="910"/>
      <c r="T39" s="910"/>
      <c r="U39" s="910"/>
      <c r="V39" s="910"/>
      <c r="W39" s="910"/>
      <c r="X39" s="910"/>
      <c r="Y39" s="910"/>
      <c r="Z39" s="79"/>
      <c r="AA39" s="3"/>
    </row>
    <row r="40" spans="1:27" ht="55.2" customHeight="1" x14ac:dyDescent="0.3">
      <c r="A40" s="3"/>
      <c r="B40" s="3"/>
      <c r="C40" s="909" t="s">
        <v>487</v>
      </c>
      <c r="D40" s="909"/>
      <c r="E40" s="909"/>
      <c r="F40" s="909"/>
      <c r="G40" s="909"/>
      <c r="H40" s="909"/>
      <c r="I40" s="909"/>
      <c r="J40" s="909"/>
      <c r="K40" s="909"/>
      <c r="L40" s="909"/>
      <c r="M40" s="909"/>
      <c r="N40" s="909"/>
      <c r="O40" s="909"/>
      <c r="P40" s="909"/>
      <c r="Q40" s="909"/>
      <c r="R40" s="909"/>
      <c r="S40" s="909"/>
      <c r="T40" s="909"/>
      <c r="U40" s="909"/>
      <c r="V40" s="909"/>
      <c r="W40" s="909"/>
      <c r="X40" s="909"/>
      <c r="Y40" s="909"/>
      <c r="Z40" s="909"/>
      <c r="AA40" s="3"/>
    </row>
    <row r="41" spans="1:27" ht="97.8" customHeight="1" x14ac:dyDescent="0.3">
      <c r="A41" s="3"/>
      <c r="B41" s="3"/>
      <c r="C41" s="874"/>
      <c r="D41" s="874"/>
      <c r="E41" s="874"/>
      <c r="F41" s="874"/>
      <c r="G41" s="874"/>
      <c r="H41" s="874"/>
      <c r="I41" s="874"/>
      <c r="J41" s="874"/>
      <c r="K41" s="874"/>
      <c r="L41" s="874"/>
      <c r="M41" s="874"/>
      <c r="N41" s="874"/>
      <c r="O41" s="874"/>
      <c r="P41" s="874"/>
      <c r="Q41" s="874"/>
      <c r="R41" s="874"/>
      <c r="S41" s="874"/>
      <c r="T41" s="874"/>
      <c r="U41" s="874"/>
      <c r="V41" s="874"/>
      <c r="W41" s="874"/>
      <c r="X41" s="874"/>
      <c r="Y41" s="874"/>
      <c r="Z41" s="874"/>
      <c r="AA41" s="3"/>
    </row>
    <row r="42" spans="1:27" s="16" customFormat="1" ht="15" customHeight="1" x14ac:dyDescent="0.3">
      <c r="A42" s="590"/>
      <c r="B42" s="15"/>
      <c r="C42" s="877"/>
      <c r="D42" s="877"/>
      <c r="E42" s="877"/>
      <c r="F42" s="877"/>
      <c r="G42" s="877"/>
      <c r="H42" s="877"/>
      <c r="I42" s="877"/>
      <c r="J42" s="877"/>
      <c r="K42" s="877"/>
      <c r="L42" s="877"/>
      <c r="M42" s="877"/>
      <c r="N42" s="877"/>
      <c r="O42" s="877"/>
      <c r="P42" s="877"/>
      <c r="Q42" s="877"/>
      <c r="R42" s="877"/>
      <c r="S42" s="877"/>
      <c r="T42" s="877"/>
      <c r="U42" s="877"/>
      <c r="V42" s="877"/>
      <c r="W42" s="877"/>
      <c r="X42" s="877"/>
      <c r="Y42" s="877"/>
      <c r="Z42" s="877"/>
      <c r="AA42" s="590"/>
    </row>
    <row r="43" spans="1:27" s="16" customFormat="1" ht="15" customHeight="1" x14ac:dyDescent="0.3">
      <c r="A43" s="39"/>
      <c r="B43" s="1"/>
      <c r="C43" s="878"/>
      <c r="D43" s="878"/>
      <c r="E43" s="878"/>
      <c r="F43" s="878"/>
      <c r="G43" s="878"/>
      <c r="H43" s="878"/>
      <c r="I43" s="878"/>
      <c r="J43" s="878"/>
      <c r="K43" s="878"/>
      <c r="L43" s="878"/>
      <c r="M43" s="878"/>
      <c r="N43" s="878"/>
      <c r="O43" s="878"/>
      <c r="P43" s="878"/>
      <c r="Q43" s="878"/>
      <c r="R43" s="878"/>
      <c r="S43" s="878"/>
      <c r="T43" s="878"/>
      <c r="U43" s="878"/>
      <c r="V43" s="878"/>
      <c r="W43" s="878"/>
      <c r="X43" s="878"/>
      <c r="Y43" s="878"/>
      <c r="Z43" s="878"/>
      <c r="AA43" s="39"/>
    </row>
    <row r="44" spans="1:27" ht="15" customHeight="1" x14ac:dyDescent="0.3">
      <c r="A44" s="3"/>
      <c r="B44" s="910" t="s">
        <v>139</v>
      </c>
      <c r="C44" s="910"/>
      <c r="D44" s="910"/>
      <c r="E44" s="910"/>
      <c r="F44" s="910"/>
      <c r="G44" s="910"/>
      <c r="H44" s="910"/>
      <c r="I44" s="910"/>
      <c r="J44" s="910"/>
      <c r="K44" s="910"/>
      <c r="L44" s="910"/>
      <c r="M44" s="910"/>
      <c r="N44" s="910"/>
      <c r="O44" s="910"/>
      <c r="P44" s="910"/>
      <c r="Q44" s="910"/>
      <c r="R44" s="910"/>
      <c r="S44" s="910"/>
      <c r="T44" s="910"/>
      <c r="U44" s="910"/>
      <c r="V44" s="910"/>
      <c r="W44" s="910"/>
      <c r="X44" s="910"/>
      <c r="Y44" s="910"/>
      <c r="Z44" s="79"/>
      <c r="AA44" s="3"/>
    </row>
    <row r="45" spans="1:27" ht="150.6" customHeight="1" x14ac:dyDescent="0.3">
      <c r="A45" s="3"/>
      <c r="B45" s="3"/>
      <c r="C45" s="909" t="s">
        <v>488</v>
      </c>
      <c r="D45" s="909"/>
      <c r="E45" s="909"/>
      <c r="F45" s="909"/>
      <c r="G45" s="909"/>
      <c r="H45" s="909"/>
      <c r="I45" s="909"/>
      <c r="J45" s="909"/>
      <c r="K45" s="909"/>
      <c r="L45" s="909"/>
      <c r="M45" s="909"/>
      <c r="N45" s="909"/>
      <c r="O45" s="909"/>
      <c r="P45" s="909"/>
      <c r="Q45" s="909"/>
      <c r="R45" s="909"/>
      <c r="S45" s="909"/>
      <c r="T45" s="909"/>
      <c r="U45" s="909"/>
      <c r="V45" s="909"/>
      <c r="W45" s="909"/>
      <c r="X45" s="909"/>
      <c r="Y45" s="909"/>
      <c r="Z45" s="909"/>
      <c r="AA45" s="3"/>
    </row>
    <row r="46" spans="1:27" ht="14.4" customHeight="1" x14ac:dyDescent="0.3">
      <c r="A46" s="3"/>
      <c r="B46" s="3"/>
      <c r="C46" s="874"/>
      <c r="D46" s="874"/>
      <c r="E46" s="874"/>
      <c r="F46" s="874"/>
      <c r="G46" s="874"/>
      <c r="H46" s="874"/>
      <c r="I46" s="874"/>
      <c r="J46" s="874"/>
      <c r="K46" s="874"/>
      <c r="L46" s="874"/>
      <c r="M46" s="874"/>
      <c r="N46" s="874"/>
      <c r="O46" s="874"/>
      <c r="P46" s="874"/>
      <c r="Q46" s="874"/>
      <c r="R46" s="874"/>
      <c r="S46" s="874"/>
      <c r="T46" s="874"/>
      <c r="U46" s="874"/>
      <c r="V46" s="874"/>
      <c r="W46" s="874"/>
      <c r="X46" s="874"/>
      <c r="Y46" s="874"/>
      <c r="Z46" s="874"/>
      <c r="AA46" s="3"/>
    </row>
    <row r="47" spans="1:27" ht="15" customHeight="1" x14ac:dyDescent="0.3">
      <c r="A47" s="3"/>
      <c r="B47" s="910" t="s">
        <v>482</v>
      </c>
      <c r="C47" s="910"/>
      <c r="D47" s="910"/>
      <c r="E47" s="910"/>
      <c r="F47" s="910"/>
      <c r="G47" s="910"/>
      <c r="H47" s="910"/>
      <c r="I47" s="910"/>
      <c r="J47" s="910"/>
      <c r="K47" s="910"/>
      <c r="L47" s="910"/>
      <c r="M47" s="910"/>
      <c r="N47" s="910"/>
      <c r="O47" s="910"/>
      <c r="P47" s="910"/>
      <c r="Q47" s="910"/>
      <c r="R47" s="910"/>
      <c r="S47" s="910"/>
      <c r="T47" s="910"/>
      <c r="U47" s="910"/>
      <c r="V47" s="910"/>
      <c r="W47" s="910"/>
      <c r="X47" s="910"/>
      <c r="Y47" s="910"/>
      <c r="Z47" s="79"/>
      <c r="AA47" s="3"/>
    </row>
    <row r="48" spans="1:27" ht="42.6" customHeight="1" x14ac:dyDescent="0.3">
      <c r="A48" s="3"/>
      <c r="B48" s="3"/>
      <c r="C48" s="909" t="s">
        <v>489</v>
      </c>
      <c r="D48" s="909"/>
      <c r="E48" s="909"/>
      <c r="F48" s="909"/>
      <c r="G48" s="909"/>
      <c r="H48" s="909"/>
      <c r="I48" s="909"/>
      <c r="J48" s="909"/>
      <c r="K48" s="909"/>
      <c r="L48" s="909"/>
      <c r="M48" s="909"/>
      <c r="N48" s="909"/>
      <c r="O48" s="909"/>
      <c r="P48" s="909"/>
      <c r="Q48" s="909"/>
      <c r="R48" s="909"/>
      <c r="S48" s="909"/>
      <c r="T48" s="909"/>
      <c r="U48" s="909"/>
      <c r="V48" s="909"/>
      <c r="W48" s="909"/>
      <c r="X48" s="909"/>
      <c r="Y48" s="909"/>
      <c r="Z48" s="909"/>
      <c r="AA48" s="3"/>
    </row>
    <row r="49" spans="1:27" ht="13.2" x14ac:dyDescent="0.3">
      <c r="A49" s="79"/>
      <c r="B49" s="79"/>
      <c r="C49" s="880"/>
      <c r="D49" s="880"/>
      <c r="E49" s="880"/>
      <c r="F49" s="880"/>
      <c r="G49" s="880"/>
      <c r="H49" s="880"/>
      <c r="I49" s="880"/>
      <c r="J49" s="880"/>
      <c r="K49" s="880"/>
      <c r="L49" s="880"/>
      <c r="M49" s="880"/>
      <c r="N49" s="880"/>
      <c r="O49" s="880"/>
      <c r="P49" s="880"/>
      <c r="Q49" s="880"/>
      <c r="R49" s="880"/>
      <c r="S49" s="880"/>
      <c r="T49" s="880"/>
      <c r="U49" s="880"/>
      <c r="V49" s="880"/>
      <c r="W49" s="880"/>
      <c r="X49" s="880"/>
      <c r="Y49" s="880"/>
      <c r="Z49" s="880"/>
      <c r="AA49" s="79"/>
    </row>
    <row r="50" spans="1:27" ht="15" customHeight="1" x14ac:dyDescent="0.3">
      <c r="A50" s="3"/>
      <c r="B50" s="910" t="s">
        <v>140</v>
      </c>
      <c r="C50" s="910"/>
      <c r="D50" s="910"/>
      <c r="E50" s="910"/>
      <c r="F50" s="910"/>
      <c r="G50" s="910"/>
      <c r="H50" s="910"/>
      <c r="I50" s="910"/>
      <c r="J50" s="910"/>
      <c r="K50" s="910"/>
      <c r="L50" s="910"/>
      <c r="M50" s="910"/>
      <c r="N50" s="910"/>
      <c r="O50" s="910"/>
      <c r="P50" s="910"/>
      <c r="Q50" s="910"/>
      <c r="R50" s="910"/>
      <c r="S50" s="910"/>
      <c r="T50" s="910"/>
      <c r="U50" s="910"/>
      <c r="V50" s="910"/>
      <c r="W50" s="910"/>
      <c r="X50" s="910"/>
      <c r="Y50" s="910"/>
      <c r="Z50" s="79"/>
      <c r="AA50" s="3"/>
    </row>
    <row r="51" spans="1:27" ht="72" customHeight="1" x14ac:dyDescent="0.3">
      <c r="A51" s="3"/>
      <c r="B51" s="3"/>
      <c r="C51" s="909" t="s">
        <v>490</v>
      </c>
      <c r="D51" s="909"/>
      <c r="E51" s="909"/>
      <c r="F51" s="909"/>
      <c r="G51" s="909"/>
      <c r="H51" s="909"/>
      <c r="I51" s="909"/>
      <c r="J51" s="909"/>
      <c r="K51" s="909"/>
      <c r="L51" s="909"/>
      <c r="M51" s="909"/>
      <c r="N51" s="909"/>
      <c r="O51" s="909"/>
      <c r="P51" s="909"/>
      <c r="Q51" s="909"/>
      <c r="R51" s="909"/>
      <c r="S51" s="909"/>
      <c r="T51" s="909"/>
      <c r="U51" s="909"/>
      <c r="V51" s="909"/>
      <c r="W51" s="909"/>
      <c r="X51" s="909"/>
      <c r="Y51" s="909"/>
      <c r="Z51" s="909"/>
      <c r="AA51" s="3"/>
    </row>
    <row r="52" spans="1:27" ht="15" customHeight="1" x14ac:dyDescent="0.3">
      <c r="A52" s="3"/>
      <c r="B52" s="3"/>
      <c r="C52" s="874"/>
      <c r="D52" s="874"/>
      <c r="E52" s="874"/>
      <c r="F52" s="874"/>
      <c r="G52" s="874"/>
      <c r="H52" s="874"/>
      <c r="I52" s="874"/>
      <c r="J52" s="874"/>
      <c r="K52" s="874"/>
      <c r="L52" s="874"/>
      <c r="M52" s="874"/>
      <c r="N52" s="874"/>
      <c r="O52" s="874"/>
      <c r="P52" s="874"/>
      <c r="Q52" s="874"/>
      <c r="R52" s="874"/>
      <c r="S52" s="874"/>
      <c r="T52" s="874"/>
      <c r="U52" s="874"/>
      <c r="V52" s="874"/>
      <c r="W52" s="874"/>
      <c r="X52" s="874"/>
      <c r="Y52" s="874"/>
      <c r="Z52" s="874"/>
      <c r="AA52" s="3"/>
    </row>
    <row r="53" spans="1:27" ht="15" customHeight="1" x14ac:dyDescent="0.3">
      <c r="A53" s="3"/>
      <c r="B53" s="910" t="s">
        <v>84</v>
      </c>
      <c r="C53" s="910"/>
      <c r="D53" s="910"/>
      <c r="E53" s="910"/>
      <c r="F53" s="910"/>
      <c r="G53" s="910"/>
      <c r="H53" s="910"/>
      <c r="I53" s="910"/>
      <c r="J53" s="910"/>
      <c r="K53" s="910"/>
      <c r="L53" s="910"/>
      <c r="M53" s="910"/>
      <c r="N53" s="910"/>
      <c r="O53" s="910"/>
      <c r="P53" s="910"/>
      <c r="Q53" s="910"/>
      <c r="R53" s="910"/>
      <c r="S53" s="910"/>
      <c r="T53" s="910"/>
      <c r="U53" s="910"/>
      <c r="V53" s="910"/>
      <c r="W53" s="910"/>
      <c r="X53" s="910"/>
      <c r="Y53" s="910"/>
      <c r="Z53" s="79"/>
      <c r="AA53" s="3"/>
    </row>
    <row r="54" spans="1:27" ht="30.6" customHeight="1" x14ac:dyDescent="0.3">
      <c r="A54" s="3"/>
      <c r="B54" s="3"/>
      <c r="C54" s="909" t="s">
        <v>485</v>
      </c>
      <c r="D54" s="909"/>
      <c r="E54" s="909"/>
      <c r="F54" s="909"/>
      <c r="G54" s="909"/>
      <c r="H54" s="909"/>
      <c r="I54" s="909"/>
      <c r="J54" s="909"/>
      <c r="K54" s="909"/>
      <c r="L54" s="909"/>
      <c r="M54" s="909"/>
      <c r="N54" s="909"/>
      <c r="O54" s="909"/>
      <c r="P54" s="909"/>
      <c r="Q54" s="909"/>
      <c r="R54" s="909"/>
      <c r="S54" s="909"/>
      <c r="T54" s="909"/>
      <c r="U54" s="909"/>
      <c r="V54" s="909"/>
      <c r="W54" s="909"/>
      <c r="X54" s="909"/>
      <c r="Y54" s="909"/>
      <c r="Z54" s="909"/>
      <c r="AA54" s="3"/>
    </row>
    <row r="55" spans="1:27" ht="15" customHeight="1" x14ac:dyDescent="0.3">
      <c r="A55" s="3"/>
      <c r="B55" s="3"/>
      <c r="C55" s="874"/>
      <c r="D55" s="874"/>
      <c r="E55" s="874"/>
      <c r="F55" s="874"/>
      <c r="G55" s="874"/>
      <c r="H55" s="874"/>
      <c r="I55" s="874"/>
      <c r="J55" s="874"/>
      <c r="K55" s="874"/>
      <c r="L55" s="874"/>
      <c r="M55" s="874"/>
      <c r="N55" s="874"/>
      <c r="O55" s="874"/>
      <c r="P55" s="874"/>
      <c r="Q55" s="874"/>
      <c r="R55" s="874"/>
      <c r="S55" s="874"/>
      <c r="T55" s="874"/>
      <c r="U55" s="874"/>
      <c r="V55" s="874"/>
      <c r="W55" s="874"/>
      <c r="X55" s="874"/>
      <c r="Y55" s="874"/>
      <c r="Z55" s="874"/>
      <c r="AA55" s="3"/>
    </row>
    <row r="56" spans="1:27" ht="15" customHeight="1" x14ac:dyDescent="0.3">
      <c r="A56" s="3"/>
      <c r="B56" s="910" t="s">
        <v>483</v>
      </c>
      <c r="C56" s="910"/>
      <c r="D56" s="910"/>
      <c r="E56" s="910"/>
      <c r="F56" s="910"/>
      <c r="G56" s="910"/>
      <c r="H56" s="910"/>
      <c r="I56" s="910"/>
      <c r="J56" s="910"/>
      <c r="K56" s="910"/>
      <c r="L56" s="910"/>
      <c r="M56" s="910"/>
      <c r="N56" s="910"/>
      <c r="O56" s="910"/>
      <c r="P56" s="910"/>
      <c r="Q56" s="910"/>
      <c r="R56" s="910"/>
      <c r="S56" s="910"/>
      <c r="T56" s="910"/>
      <c r="U56" s="910"/>
      <c r="V56" s="910"/>
      <c r="W56" s="910"/>
      <c r="X56" s="910"/>
      <c r="Y56" s="910"/>
      <c r="Z56" s="79"/>
      <c r="AA56" s="3"/>
    </row>
    <row r="57" spans="1:27" ht="15" customHeight="1" x14ac:dyDescent="0.3">
      <c r="A57" s="3"/>
      <c r="B57" s="3"/>
      <c r="C57" s="909" t="s">
        <v>484</v>
      </c>
      <c r="D57" s="909"/>
      <c r="E57" s="909"/>
      <c r="F57" s="909"/>
      <c r="G57" s="909"/>
      <c r="H57" s="909"/>
      <c r="I57" s="909"/>
      <c r="J57" s="909"/>
      <c r="K57" s="909"/>
      <c r="L57" s="909"/>
      <c r="M57" s="909"/>
      <c r="N57" s="909"/>
      <c r="O57" s="909"/>
      <c r="P57" s="909"/>
      <c r="Q57" s="909"/>
      <c r="R57" s="909"/>
      <c r="S57" s="909"/>
      <c r="T57" s="909"/>
      <c r="U57" s="909"/>
      <c r="V57" s="909"/>
      <c r="W57" s="909"/>
      <c r="X57" s="909"/>
      <c r="Y57" s="909"/>
      <c r="Z57" s="909"/>
      <c r="AA57" s="3"/>
    </row>
    <row r="58" spans="1:27" ht="21" customHeight="1" x14ac:dyDescent="0.3">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row>
  </sheetData>
  <mergeCells count="35">
    <mergeCell ref="N27:O27"/>
    <mergeCell ref="D30:O30"/>
    <mergeCell ref="D28:M28"/>
    <mergeCell ref="N28:O28"/>
    <mergeCell ref="B7:Y7"/>
    <mergeCell ref="C8:Z8"/>
    <mergeCell ref="D29:M29"/>
    <mergeCell ref="N29:O29"/>
    <mergeCell ref="B10:Y10"/>
    <mergeCell ref="C11:Z11"/>
    <mergeCell ref="B13:Y13"/>
    <mergeCell ref="C14:Z14"/>
    <mergeCell ref="B19:Y19"/>
    <mergeCell ref="C20:Z20"/>
    <mergeCell ref="B22:Y22"/>
    <mergeCell ref="C23:Z23"/>
    <mergeCell ref="D25:O25"/>
    <mergeCell ref="D26:M26"/>
    <mergeCell ref="N26:O26"/>
    <mergeCell ref="D27:M27"/>
    <mergeCell ref="C54:Z54"/>
    <mergeCell ref="B56:Y56"/>
    <mergeCell ref="C57:Z57"/>
    <mergeCell ref="C34:P34"/>
    <mergeCell ref="B47:Y47"/>
    <mergeCell ref="C48:Z48"/>
    <mergeCell ref="B50:Y50"/>
    <mergeCell ref="C51:Z51"/>
    <mergeCell ref="B53:Y53"/>
    <mergeCell ref="C37:Z37"/>
    <mergeCell ref="B39:Y39"/>
    <mergeCell ref="C40:Z40"/>
    <mergeCell ref="B44:Y44"/>
    <mergeCell ref="C45:Z45"/>
    <mergeCell ref="B36:Y36"/>
  </mergeCells>
  <dataValidations disablePrompts="1" count="4">
    <dataValidation allowBlank="1" showInputMessage="1" showErrorMessage="1" prompt="53.347901" sqref="JO65379 TK65379 ADG65379 ANC65379 AWY65379 BGU65379 BQQ65379 CAM65379 CKI65379 CUE65379 DEA65379 DNW65379 DXS65379 EHO65379 ERK65379 FBG65379 FLC65379 FUY65379 GEU65379 GOQ65379 GYM65379 HII65379 HSE65379 ICA65379 ILW65379 IVS65379 JFO65379 JPK65379 JZG65379 KJC65379 KSY65379 LCU65379 LMQ65379 LWM65379 MGI65379 MQE65379 NAA65379 NJW65379 NTS65379 ODO65379 ONK65379 OXG65379 PHC65379 PQY65379 QAU65379 QKQ65379 QUM65379 REI65379 ROE65379 RYA65379 SHW65379 SRS65379 TBO65379 TLK65379 TVG65379 UFC65379 UOY65379 UYU65379 VIQ65379 VSM65379 WCI65379 WME65379 WWA65379 JO130915 TK130915 ADG130915 ANC130915 AWY130915 BGU130915 BQQ130915 CAM130915 CKI130915 CUE130915 DEA130915 DNW130915 DXS130915 EHO130915 ERK130915 FBG130915 FLC130915 FUY130915 GEU130915 GOQ130915 GYM130915 HII130915 HSE130915 ICA130915 ILW130915 IVS130915 JFO130915 JPK130915 JZG130915 KJC130915 KSY130915 LCU130915 LMQ130915 LWM130915 MGI130915 MQE130915 NAA130915 NJW130915 NTS130915 ODO130915 ONK130915 OXG130915 PHC130915 PQY130915 QAU130915 QKQ130915 QUM130915 REI130915 ROE130915 RYA130915 SHW130915 SRS130915 TBO130915 TLK130915 TVG130915 UFC130915 UOY130915 UYU130915 VIQ130915 VSM130915 WCI130915 WME130915 WWA130915 JO196451 TK196451 ADG196451 ANC196451 AWY196451 BGU196451 BQQ196451 CAM196451 CKI196451 CUE196451 DEA196451 DNW196451 DXS196451 EHO196451 ERK196451 FBG196451 FLC196451 FUY196451 GEU196451 GOQ196451 GYM196451 HII196451 HSE196451 ICA196451 ILW196451 IVS196451 JFO196451 JPK196451 JZG196451 KJC196451 KSY196451 LCU196451 LMQ196451 LWM196451 MGI196451 MQE196451 NAA196451 NJW196451 NTS196451 ODO196451 ONK196451 OXG196451 PHC196451 PQY196451 QAU196451 QKQ196451 QUM196451 REI196451 ROE196451 RYA196451 SHW196451 SRS196451 TBO196451 TLK196451 TVG196451 UFC196451 UOY196451 UYU196451 VIQ196451 VSM196451 WCI196451 WME196451 WWA196451 JO261987 TK261987 ADG261987 ANC261987 AWY261987 BGU261987 BQQ261987 CAM261987 CKI261987 CUE261987 DEA261987 DNW261987 DXS261987 EHO261987 ERK261987 FBG261987 FLC261987 FUY261987 GEU261987 GOQ261987 GYM261987 HII261987 HSE261987 ICA261987 ILW261987 IVS261987 JFO261987 JPK261987 JZG261987 KJC261987 KSY261987 LCU261987 LMQ261987 LWM261987 MGI261987 MQE261987 NAA261987 NJW261987 NTS261987 ODO261987 ONK261987 OXG261987 PHC261987 PQY261987 QAU261987 QKQ261987 QUM261987 REI261987 ROE261987 RYA261987 SHW261987 SRS261987 TBO261987 TLK261987 TVG261987 UFC261987 UOY261987 UYU261987 VIQ261987 VSM261987 WCI261987 WME261987 WWA261987 JO327523 TK327523 ADG327523 ANC327523 AWY327523 BGU327523 BQQ327523 CAM327523 CKI327523 CUE327523 DEA327523 DNW327523 DXS327523 EHO327523 ERK327523 FBG327523 FLC327523 FUY327523 GEU327523 GOQ327523 GYM327523 HII327523 HSE327523 ICA327523 ILW327523 IVS327523 JFO327523 JPK327523 JZG327523 KJC327523 KSY327523 LCU327523 LMQ327523 LWM327523 MGI327523 MQE327523 NAA327523 NJW327523 NTS327523 ODO327523 ONK327523 OXG327523 PHC327523 PQY327523 QAU327523 QKQ327523 QUM327523 REI327523 ROE327523 RYA327523 SHW327523 SRS327523 TBO327523 TLK327523 TVG327523 UFC327523 UOY327523 UYU327523 VIQ327523 VSM327523 WCI327523 WME327523 WWA327523 JO393059 TK393059 ADG393059 ANC393059 AWY393059 BGU393059 BQQ393059 CAM393059 CKI393059 CUE393059 DEA393059 DNW393059 DXS393059 EHO393059 ERK393059 FBG393059 FLC393059 FUY393059 GEU393059 GOQ393059 GYM393059 HII393059 HSE393059 ICA393059 ILW393059 IVS393059 JFO393059 JPK393059 JZG393059 KJC393059 KSY393059 LCU393059 LMQ393059 LWM393059 MGI393059 MQE393059 NAA393059 NJW393059 NTS393059 ODO393059 ONK393059 OXG393059 PHC393059 PQY393059 QAU393059 QKQ393059 QUM393059 REI393059 ROE393059 RYA393059 SHW393059 SRS393059 TBO393059 TLK393059 TVG393059 UFC393059 UOY393059 UYU393059 VIQ393059 VSM393059 WCI393059 WME393059 WWA393059 JO458595 TK458595 ADG458595 ANC458595 AWY458595 BGU458595 BQQ458595 CAM458595 CKI458595 CUE458595 DEA458595 DNW458595 DXS458595 EHO458595 ERK458595 FBG458595 FLC458595 FUY458595 GEU458595 GOQ458595 GYM458595 HII458595 HSE458595 ICA458595 ILW458595 IVS458595 JFO458595 JPK458595 JZG458595 KJC458595 KSY458595 LCU458595 LMQ458595 LWM458595 MGI458595 MQE458595 NAA458595 NJW458595 NTS458595 ODO458595 ONK458595 OXG458595 PHC458595 PQY458595 QAU458595 QKQ458595 QUM458595 REI458595 ROE458595 RYA458595 SHW458595 SRS458595 TBO458595 TLK458595 TVG458595 UFC458595 UOY458595 UYU458595 VIQ458595 VSM458595 WCI458595 WME458595 WWA458595 JO524131 TK524131 ADG524131 ANC524131 AWY524131 BGU524131 BQQ524131 CAM524131 CKI524131 CUE524131 DEA524131 DNW524131 DXS524131 EHO524131 ERK524131 FBG524131 FLC524131 FUY524131 GEU524131 GOQ524131 GYM524131 HII524131 HSE524131 ICA524131 ILW524131 IVS524131 JFO524131 JPK524131 JZG524131 KJC524131 KSY524131 LCU524131 LMQ524131 LWM524131 MGI524131 MQE524131 NAA524131 NJW524131 NTS524131 ODO524131 ONK524131 OXG524131 PHC524131 PQY524131 QAU524131 QKQ524131 QUM524131 REI524131 ROE524131 RYA524131 SHW524131 SRS524131 TBO524131 TLK524131 TVG524131 UFC524131 UOY524131 UYU524131 VIQ524131 VSM524131 WCI524131 WME524131 WWA524131 JO589667 TK589667 ADG589667 ANC589667 AWY589667 BGU589667 BQQ589667 CAM589667 CKI589667 CUE589667 DEA589667 DNW589667 DXS589667 EHO589667 ERK589667 FBG589667 FLC589667 FUY589667 GEU589667 GOQ589667 GYM589667 HII589667 HSE589667 ICA589667 ILW589667 IVS589667 JFO589667 JPK589667 JZG589667 KJC589667 KSY589667 LCU589667 LMQ589667 LWM589667 MGI589667 MQE589667 NAA589667 NJW589667 NTS589667 ODO589667 ONK589667 OXG589667 PHC589667 PQY589667 QAU589667 QKQ589667 QUM589667 REI589667 ROE589667 RYA589667 SHW589667 SRS589667 TBO589667 TLK589667 TVG589667 UFC589667 UOY589667 UYU589667 VIQ589667 VSM589667 WCI589667 WME589667 WWA589667 JO655203 TK655203 ADG655203 ANC655203 AWY655203 BGU655203 BQQ655203 CAM655203 CKI655203 CUE655203 DEA655203 DNW655203 DXS655203 EHO655203 ERK655203 FBG655203 FLC655203 FUY655203 GEU655203 GOQ655203 GYM655203 HII655203 HSE655203 ICA655203 ILW655203 IVS655203 JFO655203 JPK655203 JZG655203 KJC655203 KSY655203 LCU655203 LMQ655203 LWM655203 MGI655203 MQE655203 NAA655203 NJW655203 NTS655203 ODO655203 ONK655203 OXG655203 PHC655203 PQY655203 QAU655203 QKQ655203 QUM655203 REI655203 ROE655203 RYA655203 SHW655203 SRS655203 TBO655203 TLK655203 TVG655203 UFC655203 UOY655203 UYU655203 VIQ655203 VSM655203 WCI655203 WME655203 WWA655203 JO720739 TK720739 ADG720739 ANC720739 AWY720739 BGU720739 BQQ720739 CAM720739 CKI720739 CUE720739 DEA720739 DNW720739 DXS720739 EHO720739 ERK720739 FBG720739 FLC720739 FUY720739 GEU720739 GOQ720739 GYM720739 HII720739 HSE720739 ICA720739 ILW720739 IVS720739 JFO720739 JPK720739 JZG720739 KJC720739 KSY720739 LCU720739 LMQ720739 LWM720739 MGI720739 MQE720739 NAA720739 NJW720739 NTS720739 ODO720739 ONK720739 OXG720739 PHC720739 PQY720739 QAU720739 QKQ720739 QUM720739 REI720739 ROE720739 RYA720739 SHW720739 SRS720739 TBO720739 TLK720739 TVG720739 UFC720739 UOY720739 UYU720739 VIQ720739 VSM720739 WCI720739 WME720739 WWA720739 JO786275 TK786275 ADG786275 ANC786275 AWY786275 BGU786275 BQQ786275 CAM786275 CKI786275 CUE786275 DEA786275 DNW786275 DXS786275 EHO786275 ERK786275 FBG786275 FLC786275 FUY786275 GEU786275 GOQ786275 GYM786275 HII786275 HSE786275 ICA786275 ILW786275 IVS786275 JFO786275 JPK786275 JZG786275 KJC786275 KSY786275 LCU786275 LMQ786275 LWM786275 MGI786275 MQE786275 NAA786275 NJW786275 NTS786275 ODO786275 ONK786275 OXG786275 PHC786275 PQY786275 QAU786275 QKQ786275 QUM786275 REI786275 ROE786275 RYA786275 SHW786275 SRS786275 TBO786275 TLK786275 TVG786275 UFC786275 UOY786275 UYU786275 VIQ786275 VSM786275 WCI786275 WME786275 WWA786275 JO851811 TK851811 ADG851811 ANC851811 AWY851811 BGU851811 BQQ851811 CAM851811 CKI851811 CUE851811 DEA851811 DNW851811 DXS851811 EHO851811 ERK851811 FBG851811 FLC851811 FUY851811 GEU851811 GOQ851811 GYM851811 HII851811 HSE851811 ICA851811 ILW851811 IVS851811 JFO851811 JPK851811 JZG851811 KJC851811 KSY851811 LCU851811 LMQ851811 LWM851811 MGI851811 MQE851811 NAA851811 NJW851811 NTS851811 ODO851811 ONK851811 OXG851811 PHC851811 PQY851811 QAU851811 QKQ851811 QUM851811 REI851811 ROE851811 RYA851811 SHW851811 SRS851811 TBO851811 TLK851811 TVG851811 UFC851811 UOY851811 UYU851811 VIQ851811 VSM851811 WCI851811 WME851811 WWA851811 JO917347 TK917347 ADG917347 ANC917347 AWY917347 BGU917347 BQQ917347 CAM917347 CKI917347 CUE917347 DEA917347 DNW917347 DXS917347 EHO917347 ERK917347 FBG917347 FLC917347 FUY917347 GEU917347 GOQ917347 GYM917347 HII917347 HSE917347 ICA917347 ILW917347 IVS917347 JFO917347 JPK917347 JZG917347 KJC917347 KSY917347 LCU917347 LMQ917347 LWM917347 MGI917347 MQE917347 NAA917347 NJW917347 NTS917347 ODO917347 ONK917347 OXG917347 PHC917347 PQY917347 QAU917347 QKQ917347 QUM917347 REI917347 ROE917347 RYA917347 SHW917347 SRS917347 TBO917347 TLK917347 TVG917347 UFC917347 UOY917347 UYU917347 VIQ917347 VSM917347 WCI917347 WME917347 WWA917347 JO982883 TK982883 ADG982883 ANC982883 AWY982883 BGU982883 BQQ982883 CAM982883 CKI982883 CUE982883 DEA982883 DNW982883 DXS982883 EHO982883 ERK982883 FBG982883 FLC982883 FUY982883 GEU982883 GOQ982883 GYM982883 HII982883 HSE982883 ICA982883 ILW982883 IVS982883 JFO982883 JPK982883 JZG982883 KJC982883 KSY982883 LCU982883 LMQ982883 LWM982883 MGI982883 MQE982883 NAA982883 NJW982883 NTS982883 ODO982883 ONK982883 OXG982883 PHC982883 PQY982883 QAU982883 QKQ982883 QUM982883 REI982883 ROE982883 RYA982883 SHW982883 SRS982883 TBO982883 TLK982883 TVG982883 UFC982883 UOY982883 UYU982883 VIQ982883 VSM982883 WCI982883 WME982883 WWA982883"/>
    <dataValidation allowBlank="1" showInputMessage="1" showErrorMessage="1" prompt="-6.294484" sqref="JQ65379 TM65379 ADI65379 ANE65379 AXA65379 BGW65379 BQS65379 CAO65379 CKK65379 CUG65379 DEC65379 DNY65379 DXU65379 EHQ65379 ERM65379 FBI65379 FLE65379 FVA65379 GEW65379 GOS65379 GYO65379 HIK65379 HSG65379 ICC65379 ILY65379 IVU65379 JFQ65379 JPM65379 JZI65379 KJE65379 KTA65379 LCW65379 LMS65379 LWO65379 MGK65379 MQG65379 NAC65379 NJY65379 NTU65379 ODQ65379 ONM65379 OXI65379 PHE65379 PRA65379 QAW65379 QKS65379 QUO65379 REK65379 ROG65379 RYC65379 SHY65379 SRU65379 TBQ65379 TLM65379 TVI65379 UFE65379 UPA65379 UYW65379 VIS65379 VSO65379 WCK65379 WMG65379 WWC65379 JQ130915 TM130915 ADI130915 ANE130915 AXA130915 BGW130915 BQS130915 CAO130915 CKK130915 CUG130915 DEC130915 DNY130915 DXU130915 EHQ130915 ERM130915 FBI130915 FLE130915 FVA130915 GEW130915 GOS130915 GYO130915 HIK130915 HSG130915 ICC130915 ILY130915 IVU130915 JFQ130915 JPM130915 JZI130915 KJE130915 KTA130915 LCW130915 LMS130915 LWO130915 MGK130915 MQG130915 NAC130915 NJY130915 NTU130915 ODQ130915 ONM130915 OXI130915 PHE130915 PRA130915 QAW130915 QKS130915 QUO130915 REK130915 ROG130915 RYC130915 SHY130915 SRU130915 TBQ130915 TLM130915 TVI130915 UFE130915 UPA130915 UYW130915 VIS130915 VSO130915 WCK130915 WMG130915 WWC130915 JQ196451 TM196451 ADI196451 ANE196451 AXA196451 BGW196451 BQS196451 CAO196451 CKK196451 CUG196451 DEC196451 DNY196451 DXU196451 EHQ196451 ERM196451 FBI196451 FLE196451 FVA196451 GEW196451 GOS196451 GYO196451 HIK196451 HSG196451 ICC196451 ILY196451 IVU196451 JFQ196451 JPM196451 JZI196451 KJE196451 KTA196451 LCW196451 LMS196451 LWO196451 MGK196451 MQG196451 NAC196451 NJY196451 NTU196451 ODQ196451 ONM196451 OXI196451 PHE196451 PRA196451 QAW196451 QKS196451 QUO196451 REK196451 ROG196451 RYC196451 SHY196451 SRU196451 TBQ196451 TLM196451 TVI196451 UFE196451 UPA196451 UYW196451 VIS196451 VSO196451 WCK196451 WMG196451 WWC196451 JQ261987 TM261987 ADI261987 ANE261987 AXA261987 BGW261987 BQS261987 CAO261987 CKK261987 CUG261987 DEC261987 DNY261987 DXU261987 EHQ261987 ERM261987 FBI261987 FLE261987 FVA261987 GEW261987 GOS261987 GYO261987 HIK261987 HSG261987 ICC261987 ILY261987 IVU261987 JFQ261987 JPM261987 JZI261987 KJE261987 KTA261987 LCW261987 LMS261987 LWO261987 MGK261987 MQG261987 NAC261987 NJY261987 NTU261987 ODQ261987 ONM261987 OXI261987 PHE261987 PRA261987 QAW261987 QKS261987 QUO261987 REK261987 ROG261987 RYC261987 SHY261987 SRU261987 TBQ261987 TLM261987 TVI261987 UFE261987 UPA261987 UYW261987 VIS261987 VSO261987 WCK261987 WMG261987 WWC261987 JQ327523 TM327523 ADI327523 ANE327523 AXA327523 BGW327523 BQS327523 CAO327523 CKK327523 CUG327523 DEC327523 DNY327523 DXU327523 EHQ327523 ERM327523 FBI327523 FLE327523 FVA327523 GEW327523 GOS327523 GYO327523 HIK327523 HSG327523 ICC327523 ILY327523 IVU327523 JFQ327523 JPM327523 JZI327523 KJE327523 KTA327523 LCW327523 LMS327523 LWO327523 MGK327523 MQG327523 NAC327523 NJY327523 NTU327523 ODQ327523 ONM327523 OXI327523 PHE327523 PRA327523 QAW327523 QKS327523 QUO327523 REK327523 ROG327523 RYC327523 SHY327523 SRU327523 TBQ327523 TLM327523 TVI327523 UFE327523 UPA327523 UYW327523 VIS327523 VSO327523 WCK327523 WMG327523 WWC327523 JQ393059 TM393059 ADI393059 ANE393059 AXA393059 BGW393059 BQS393059 CAO393059 CKK393059 CUG393059 DEC393059 DNY393059 DXU393059 EHQ393059 ERM393059 FBI393059 FLE393059 FVA393059 GEW393059 GOS393059 GYO393059 HIK393059 HSG393059 ICC393059 ILY393059 IVU393059 JFQ393059 JPM393059 JZI393059 KJE393059 KTA393059 LCW393059 LMS393059 LWO393059 MGK393059 MQG393059 NAC393059 NJY393059 NTU393059 ODQ393059 ONM393059 OXI393059 PHE393059 PRA393059 QAW393059 QKS393059 QUO393059 REK393059 ROG393059 RYC393059 SHY393059 SRU393059 TBQ393059 TLM393059 TVI393059 UFE393059 UPA393059 UYW393059 VIS393059 VSO393059 WCK393059 WMG393059 WWC393059 JQ458595 TM458595 ADI458595 ANE458595 AXA458595 BGW458595 BQS458595 CAO458595 CKK458595 CUG458595 DEC458595 DNY458595 DXU458595 EHQ458595 ERM458595 FBI458595 FLE458595 FVA458595 GEW458595 GOS458595 GYO458595 HIK458595 HSG458595 ICC458595 ILY458595 IVU458595 JFQ458595 JPM458595 JZI458595 KJE458595 KTA458595 LCW458595 LMS458595 LWO458595 MGK458595 MQG458595 NAC458595 NJY458595 NTU458595 ODQ458595 ONM458595 OXI458595 PHE458595 PRA458595 QAW458595 QKS458595 QUO458595 REK458595 ROG458595 RYC458595 SHY458595 SRU458595 TBQ458595 TLM458595 TVI458595 UFE458595 UPA458595 UYW458595 VIS458595 VSO458595 WCK458595 WMG458595 WWC458595 JQ524131 TM524131 ADI524131 ANE524131 AXA524131 BGW524131 BQS524131 CAO524131 CKK524131 CUG524131 DEC524131 DNY524131 DXU524131 EHQ524131 ERM524131 FBI524131 FLE524131 FVA524131 GEW524131 GOS524131 GYO524131 HIK524131 HSG524131 ICC524131 ILY524131 IVU524131 JFQ524131 JPM524131 JZI524131 KJE524131 KTA524131 LCW524131 LMS524131 LWO524131 MGK524131 MQG524131 NAC524131 NJY524131 NTU524131 ODQ524131 ONM524131 OXI524131 PHE524131 PRA524131 QAW524131 QKS524131 QUO524131 REK524131 ROG524131 RYC524131 SHY524131 SRU524131 TBQ524131 TLM524131 TVI524131 UFE524131 UPA524131 UYW524131 VIS524131 VSO524131 WCK524131 WMG524131 WWC524131 JQ589667 TM589667 ADI589667 ANE589667 AXA589667 BGW589667 BQS589667 CAO589667 CKK589667 CUG589667 DEC589667 DNY589667 DXU589667 EHQ589667 ERM589667 FBI589667 FLE589667 FVA589667 GEW589667 GOS589667 GYO589667 HIK589667 HSG589667 ICC589667 ILY589667 IVU589667 JFQ589667 JPM589667 JZI589667 KJE589667 KTA589667 LCW589667 LMS589667 LWO589667 MGK589667 MQG589667 NAC589667 NJY589667 NTU589667 ODQ589667 ONM589667 OXI589667 PHE589667 PRA589667 QAW589667 QKS589667 QUO589667 REK589667 ROG589667 RYC589667 SHY589667 SRU589667 TBQ589667 TLM589667 TVI589667 UFE589667 UPA589667 UYW589667 VIS589667 VSO589667 WCK589667 WMG589667 WWC589667 JQ655203 TM655203 ADI655203 ANE655203 AXA655203 BGW655203 BQS655203 CAO655203 CKK655203 CUG655203 DEC655203 DNY655203 DXU655203 EHQ655203 ERM655203 FBI655203 FLE655203 FVA655203 GEW655203 GOS655203 GYO655203 HIK655203 HSG655203 ICC655203 ILY655203 IVU655203 JFQ655203 JPM655203 JZI655203 KJE655203 KTA655203 LCW655203 LMS655203 LWO655203 MGK655203 MQG655203 NAC655203 NJY655203 NTU655203 ODQ655203 ONM655203 OXI655203 PHE655203 PRA655203 QAW655203 QKS655203 QUO655203 REK655203 ROG655203 RYC655203 SHY655203 SRU655203 TBQ655203 TLM655203 TVI655203 UFE655203 UPA655203 UYW655203 VIS655203 VSO655203 WCK655203 WMG655203 WWC655203 JQ720739 TM720739 ADI720739 ANE720739 AXA720739 BGW720739 BQS720739 CAO720739 CKK720739 CUG720739 DEC720739 DNY720739 DXU720739 EHQ720739 ERM720739 FBI720739 FLE720739 FVA720739 GEW720739 GOS720739 GYO720739 HIK720739 HSG720739 ICC720739 ILY720739 IVU720739 JFQ720739 JPM720739 JZI720739 KJE720739 KTA720739 LCW720739 LMS720739 LWO720739 MGK720739 MQG720739 NAC720739 NJY720739 NTU720739 ODQ720739 ONM720739 OXI720739 PHE720739 PRA720739 QAW720739 QKS720739 QUO720739 REK720739 ROG720739 RYC720739 SHY720739 SRU720739 TBQ720739 TLM720739 TVI720739 UFE720739 UPA720739 UYW720739 VIS720739 VSO720739 WCK720739 WMG720739 WWC720739 JQ786275 TM786275 ADI786275 ANE786275 AXA786275 BGW786275 BQS786275 CAO786275 CKK786275 CUG786275 DEC786275 DNY786275 DXU786275 EHQ786275 ERM786275 FBI786275 FLE786275 FVA786275 GEW786275 GOS786275 GYO786275 HIK786275 HSG786275 ICC786275 ILY786275 IVU786275 JFQ786275 JPM786275 JZI786275 KJE786275 KTA786275 LCW786275 LMS786275 LWO786275 MGK786275 MQG786275 NAC786275 NJY786275 NTU786275 ODQ786275 ONM786275 OXI786275 PHE786275 PRA786275 QAW786275 QKS786275 QUO786275 REK786275 ROG786275 RYC786275 SHY786275 SRU786275 TBQ786275 TLM786275 TVI786275 UFE786275 UPA786275 UYW786275 VIS786275 VSO786275 WCK786275 WMG786275 WWC786275 JQ851811 TM851811 ADI851811 ANE851811 AXA851811 BGW851811 BQS851811 CAO851811 CKK851811 CUG851811 DEC851811 DNY851811 DXU851811 EHQ851811 ERM851811 FBI851811 FLE851811 FVA851811 GEW851811 GOS851811 GYO851811 HIK851811 HSG851811 ICC851811 ILY851811 IVU851811 JFQ851811 JPM851811 JZI851811 KJE851811 KTA851811 LCW851811 LMS851811 LWO851811 MGK851811 MQG851811 NAC851811 NJY851811 NTU851811 ODQ851811 ONM851811 OXI851811 PHE851811 PRA851811 QAW851811 QKS851811 QUO851811 REK851811 ROG851811 RYC851811 SHY851811 SRU851811 TBQ851811 TLM851811 TVI851811 UFE851811 UPA851811 UYW851811 VIS851811 VSO851811 WCK851811 WMG851811 WWC851811 JQ917347 TM917347 ADI917347 ANE917347 AXA917347 BGW917347 BQS917347 CAO917347 CKK917347 CUG917347 DEC917347 DNY917347 DXU917347 EHQ917347 ERM917347 FBI917347 FLE917347 FVA917347 GEW917347 GOS917347 GYO917347 HIK917347 HSG917347 ICC917347 ILY917347 IVU917347 JFQ917347 JPM917347 JZI917347 KJE917347 KTA917347 LCW917347 LMS917347 LWO917347 MGK917347 MQG917347 NAC917347 NJY917347 NTU917347 ODQ917347 ONM917347 OXI917347 PHE917347 PRA917347 QAW917347 QKS917347 QUO917347 REK917347 ROG917347 RYC917347 SHY917347 SRU917347 TBQ917347 TLM917347 TVI917347 UFE917347 UPA917347 UYW917347 VIS917347 VSO917347 WCK917347 WMG917347 WWC917347 JQ982883 TM982883 ADI982883 ANE982883 AXA982883 BGW982883 BQS982883 CAO982883 CKK982883 CUG982883 DEC982883 DNY982883 DXU982883 EHQ982883 ERM982883 FBI982883 FLE982883 FVA982883 GEW982883 GOS982883 GYO982883 HIK982883 HSG982883 ICC982883 ILY982883 IVU982883 JFQ982883 JPM982883 JZI982883 KJE982883 KTA982883 LCW982883 LMS982883 LWO982883 MGK982883 MQG982883 NAC982883 NJY982883 NTU982883 ODQ982883 ONM982883 OXI982883 PHE982883 PRA982883 QAW982883 QKS982883 QUO982883 REK982883 ROG982883 RYC982883 SHY982883 SRU982883 TBQ982883 TLM982883 TVI982883 UFE982883 UPA982883 UYW982883 VIS982883 VSO982883 WCK982883 WMG982883 WWC982883"/>
    <dataValidation allowBlank="1" showInputMessage="1" showErrorMessage="1" prompt="53° 20' 52.4436''" sqref="JO65383 TK65383 ADG65383 ANC65383 AWY65383 BGU65383 BQQ65383 CAM65383 CKI65383 CUE65383 DEA65383 DNW65383 DXS65383 EHO65383 ERK65383 FBG65383 FLC65383 FUY65383 GEU65383 GOQ65383 GYM65383 HII65383 HSE65383 ICA65383 ILW65383 IVS65383 JFO65383 JPK65383 JZG65383 KJC65383 KSY65383 LCU65383 LMQ65383 LWM65383 MGI65383 MQE65383 NAA65383 NJW65383 NTS65383 ODO65383 ONK65383 OXG65383 PHC65383 PQY65383 QAU65383 QKQ65383 QUM65383 REI65383 ROE65383 RYA65383 SHW65383 SRS65383 TBO65383 TLK65383 TVG65383 UFC65383 UOY65383 UYU65383 VIQ65383 VSM65383 WCI65383 WME65383 WWA65383 JO130919 TK130919 ADG130919 ANC130919 AWY130919 BGU130919 BQQ130919 CAM130919 CKI130919 CUE130919 DEA130919 DNW130919 DXS130919 EHO130919 ERK130919 FBG130919 FLC130919 FUY130919 GEU130919 GOQ130919 GYM130919 HII130919 HSE130919 ICA130919 ILW130919 IVS130919 JFO130919 JPK130919 JZG130919 KJC130919 KSY130919 LCU130919 LMQ130919 LWM130919 MGI130919 MQE130919 NAA130919 NJW130919 NTS130919 ODO130919 ONK130919 OXG130919 PHC130919 PQY130919 QAU130919 QKQ130919 QUM130919 REI130919 ROE130919 RYA130919 SHW130919 SRS130919 TBO130919 TLK130919 TVG130919 UFC130919 UOY130919 UYU130919 VIQ130919 VSM130919 WCI130919 WME130919 WWA130919 JO196455 TK196455 ADG196455 ANC196455 AWY196455 BGU196455 BQQ196455 CAM196455 CKI196455 CUE196455 DEA196455 DNW196455 DXS196455 EHO196455 ERK196455 FBG196455 FLC196455 FUY196455 GEU196455 GOQ196455 GYM196455 HII196455 HSE196455 ICA196455 ILW196455 IVS196455 JFO196455 JPK196455 JZG196455 KJC196455 KSY196455 LCU196455 LMQ196455 LWM196455 MGI196455 MQE196455 NAA196455 NJW196455 NTS196455 ODO196455 ONK196455 OXG196455 PHC196455 PQY196455 QAU196455 QKQ196455 QUM196455 REI196455 ROE196455 RYA196455 SHW196455 SRS196455 TBO196455 TLK196455 TVG196455 UFC196455 UOY196455 UYU196455 VIQ196455 VSM196455 WCI196455 WME196455 WWA196455 JO261991 TK261991 ADG261991 ANC261991 AWY261991 BGU261991 BQQ261991 CAM261991 CKI261991 CUE261991 DEA261991 DNW261991 DXS261991 EHO261991 ERK261991 FBG261991 FLC261991 FUY261991 GEU261991 GOQ261991 GYM261991 HII261991 HSE261991 ICA261991 ILW261991 IVS261991 JFO261991 JPK261991 JZG261991 KJC261991 KSY261991 LCU261991 LMQ261991 LWM261991 MGI261991 MQE261991 NAA261991 NJW261991 NTS261991 ODO261991 ONK261991 OXG261991 PHC261991 PQY261991 QAU261991 QKQ261991 QUM261991 REI261991 ROE261991 RYA261991 SHW261991 SRS261991 TBO261991 TLK261991 TVG261991 UFC261991 UOY261991 UYU261991 VIQ261991 VSM261991 WCI261991 WME261991 WWA261991 JO327527 TK327527 ADG327527 ANC327527 AWY327527 BGU327527 BQQ327527 CAM327527 CKI327527 CUE327527 DEA327527 DNW327527 DXS327527 EHO327527 ERK327527 FBG327527 FLC327527 FUY327527 GEU327527 GOQ327527 GYM327527 HII327527 HSE327527 ICA327527 ILW327527 IVS327527 JFO327527 JPK327527 JZG327527 KJC327527 KSY327527 LCU327527 LMQ327527 LWM327527 MGI327527 MQE327527 NAA327527 NJW327527 NTS327527 ODO327527 ONK327527 OXG327527 PHC327527 PQY327527 QAU327527 QKQ327527 QUM327527 REI327527 ROE327527 RYA327527 SHW327527 SRS327527 TBO327527 TLK327527 TVG327527 UFC327527 UOY327527 UYU327527 VIQ327527 VSM327527 WCI327527 WME327527 WWA327527 JO393063 TK393063 ADG393063 ANC393063 AWY393063 BGU393063 BQQ393063 CAM393063 CKI393063 CUE393063 DEA393063 DNW393063 DXS393063 EHO393063 ERK393063 FBG393063 FLC393063 FUY393063 GEU393063 GOQ393063 GYM393063 HII393063 HSE393063 ICA393063 ILW393063 IVS393063 JFO393063 JPK393063 JZG393063 KJC393063 KSY393063 LCU393063 LMQ393063 LWM393063 MGI393063 MQE393063 NAA393063 NJW393063 NTS393063 ODO393063 ONK393063 OXG393063 PHC393063 PQY393063 QAU393063 QKQ393063 QUM393063 REI393063 ROE393063 RYA393063 SHW393063 SRS393063 TBO393063 TLK393063 TVG393063 UFC393063 UOY393063 UYU393063 VIQ393063 VSM393063 WCI393063 WME393063 WWA393063 JO458599 TK458599 ADG458599 ANC458599 AWY458599 BGU458599 BQQ458599 CAM458599 CKI458599 CUE458599 DEA458599 DNW458599 DXS458599 EHO458599 ERK458599 FBG458599 FLC458599 FUY458599 GEU458599 GOQ458599 GYM458599 HII458599 HSE458599 ICA458599 ILW458599 IVS458599 JFO458599 JPK458599 JZG458599 KJC458599 KSY458599 LCU458599 LMQ458599 LWM458599 MGI458599 MQE458599 NAA458599 NJW458599 NTS458599 ODO458599 ONK458599 OXG458599 PHC458599 PQY458599 QAU458599 QKQ458599 QUM458599 REI458599 ROE458599 RYA458599 SHW458599 SRS458599 TBO458599 TLK458599 TVG458599 UFC458599 UOY458599 UYU458599 VIQ458599 VSM458599 WCI458599 WME458599 WWA458599 JO524135 TK524135 ADG524135 ANC524135 AWY524135 BGU524135 BQQ524135 CAM524135 CKI524135 CUE524135 DEA524135 DNW524135 DXS524135 EHO524135 ERK524135 FBG524135 FLC524135 FUY524135 GEU524135 GOQ524135 GYM524135 HII524135 HSE524135 ICA524135 ILW524135 IVS524135 JFO524135 JPK524135 JZG524135 KJC524135 KSY524135 LCU524135 LMQ524135 LWM524135 MGI524135 MQE524135 NAA524135 NJW524135 NTS524135 ODO524135 ONK524135 OXG524135 PHC524135 PQY524135 QAU524135 QKQ524135 QUM524135 REI524135 ROE524135 RYA524135 SHW524135 SRS524135 TBO524135 TLK524135 TVG524135 UFC524135 UOY524135 UYU524135 VIQ524135 VSM524135 WCI524135 WME524135 WWA524135 JO589671 TK589671 ADG589671 ANC589671 AWY589671 BGU589671 BQQ589671 CAM589671 CKI589671 CUE589671 DEA589671 DNW589671 DXS589671 EHO589671 ERK589671 FBG589671 FLC589671 FUY589671 GEU589671 GOQ589671 GYM589671 HII589671 HSE589671 ICA589671 ILW589671 IVS589671 JFO589671 JPK589671 JZG589671 KJC589671 KSY589671 LCU589671 LMQ589671 LWM589671 MGI589671 MQE589671 NAA589671 NJW589671 NTS589671 ODO589671 ONK589671 OXG589671 PHC589671 PQY589671 QAU589671 QKQ589671 QUM589671 REI589671 ROE589671 RYA589671 SHW589671 SRS589671 TBO589671 TLK589671 TVG589671 UFC589671 UOY589671 UYU589671 VIQ589671 VSM589671 WCI589671 WME589671 WWA589671 JO655207 TK655207 ADG655207 ANC655207 AWY655207 BGU655207 BQQ655207 CAM655207 CKI655207 CUE655207 DEA655207 DNW655207 DXS655207 EHO655207 ERK655207 FBG655207 FLC655207 FUY655207 GEU655207 GOQ655207 GYM655207 HII655207 HSE655207 ICA655207 ILW655207 IVS655207 JFO655207 JPK655207 JZG655207 KJC655207 KSY655207 LCU655207 LMQ655207 LWM655207 MGI655207 MQE655207 NAA655207 NJW655207 NTS655207 ODO655207 ONK655207 OXG655207 PHC655207 PQY655207 QAU655207 QKQ655207 QUM655207 REI655207 ROE655207 RYA655207 SHW655207 SRS655207 TBO655207 TLK655207 TVG655207 UFC655207 UOY655207 UYU655207 VIQ655207 VSM655207 WCI655207 WME655207 WWA655207 JO720743 TK720743 ADG720743 ANC720743 AWY720743 BGU720743 BQQ720743 CAM720743 CKI720743 CUE720743 DEA720743 DNW720743 DXS720743 EHO720743 ERK720743 FBG720743 FLC720743 FUY720743 GEU720743 GOQ720743 GYM720743 HII720743 HSE720743 ICA720743 ILW720743 IVS720743 JFO720743 JPK720743 JZG720743 KJC720743 KSY720743 LCU720743 LMQ720743 LWM720743 MGI720743 MQE720743 NAA720743 NJW720743 NTS720743 ODO720743 ONK720743 OXG720743 PHC720743 PQY720743 QAU720743 QKQ720743 QUM720743 REI720743 ROE720743 RYA720743 SHW720743 SRS720743 TBO720743 TLK720743 TVG720743 UFC720743 UOY720743 UYU720743 VIQ720743 VSM720743 WCI720743 WME720743 WWA720743 JO786279 TK786279 ADG786279 ANC786279 AWY786279 BGU786279 BQQ786279 CAM786279 CKI786279 CUE786279 DEA786279 DNW786279 DXS786279 EHO786279 ERK786279 FBG786279 FLC786279 FUY786279 GEU786279 GOQ786279 GYM786279 HII786279 HSE786279 ICA786279 ILW786279 IVS786279 JFO786279 JPK786279 JZG786279 KJC786279 KSY786279 LCU786279 LMQ786279 LWM786279 MGI786279 MQE786279 NAA786279 NJW786279 NTS786279 ODO786279 ONK786279 OXG786279 PHC786279 PQY786279 QAU786279 QKQ786279 QUM786279 REI786279 ROE786279 RYA786279 SHW786279 SRS786279 TBO786279 TLK786279 TVG786279 UFC786279 UOY786279 UYU786279 VIQ786279 VSM786279 WCI786279 WME786279 WWA786279 JO851815 TK851815 ADG851815 ANC851815 AWY851815 BGU851815 BQQ851815 CAM851815 CKI851815 CUE851815 DEA851815 DNW851815 DXS851815 EHO851815 ERK851815 FBG851815 FLC851815 FUY851815 GEU851815 GOQ851815 GYM851815 HII851815 HSE851815 ICA851815 ILW851815 IVS851815 JFO851815 JPK851815 JZG851815 KJC851815 KSY851815 LCU851815 LMQ851815 LWM851815 MGI851815 MQE851815 NAA851815 NJW851815 NTS851815 ODO851815 ONK851815 OXG851815 PHC851815 PQY851815 QAU851815 QKQ851815 QUM851815 REI851815 ROE851815 RYA851815 SHW851815 SRS851815 TBO851815 TLK851815 TVG851815 UFC851815 UOY851815 UYU851815 VIQ851815 VSM851815 WCI851815 WME851815 WWA851815 JO917351 TK917351 ADG917351 ANC917351 AWY917351 BGU917351 BQQ917351 CAM917351 CKI917351 CUE917351 DEA917351 DNW917351 DXS917351 EHO917351 ERK917351 FBG917351 FLC917351 FUY917351 GEU917351 GOQ917351 GYM917351 HII917351 HSE917351 ICA917351 ILW917351 IVS917351 JFO917351 JPK917351 JZG917351 KJC917351 KSY917351 LCU917351 LMQ917351 LWM917351 MGI917351 MQE917351 NAA917351 NJW917351 NTS917351 ODO917351 ONK917351 OXG917351 PHC917351 PQY917351 QAU917351 QKQ917351 QUM917351 REI917351 ROE917351 RYA917351 SHW917351 SRS917351 TBO917351 TLK917351 TVG917351 UFC917351 UOY917351 UYU917351 VIQ917351 VSM917351 WCI917351 WME917351 WWA917351 JO982887 TK982887 ADG982887 ANC982887 AWY982887 BGU982887 BQQ982887 CAM982887 CKI982887 CUE982887 DEA982887 DNW982887 DXS982887 EHO982887 ERK982887 FBG982887 FLC982887 FUY982887 GEU982887 GOQ982887 GYM982887 HII982887 HSE982887 ICA982887 ILW982887 IVS982887 JFO982887 JPK982887 JZG982887 KJC982887 KSY982887 LCU982887 LMQ982887 LWM982887 MGI982887 MQE982887 NAA982887 NJW982887 NTS982887 ODO982887 ONK982887 OXG982887 PHC982887 PQY982887 QAU982887 QKQ982887 QUM982887 REI982887 ROE982887 RYA982887 SHW982887 SRS982887 TBO982887 TLK982887 TVG982887 UFC982887 UOY982887 UYU982887 VIQ982887 VSM982887 WCI982887 WME982887 WWA982887"/>
    <dataValidation allowBlank="1" showInputMessage="1" showErrorMessage="1" prompt="6° 17' 40.1424''" sqref="JQ65383 TM65383 ADI65383 ANE65383 AXA65383 BGW65383 BQS65383 CAO65383 CKK65383 CUG65383 DEC65383 DNY65383 DXU65383 EHQ65383 ERM65383 FBI65383 FLE65383 FVA65383 GEW65383 GOS65383 GYO65383 HIK65383 HSG65383 ICC65383 ILY65383 IVU65383 JFQ65383 JPM65383 JZI65383 KJE65383 KTA65383 LCW65383 LMS65383 LWO65383 MGK65383 MQG65383 NAC65383 NJY65383 NTU65383 ODQ65383 ONM65383 OXI65383 PHE65383 PRA65383 QAW65383 QKS65383 QUO65383 REK65383 ROG65383 RYC65383 SHY65383 SRU65383 TBQ65383 TLM65383 TVI65383 UFE65383 UPA65383 UYW65383 VIS65383 VSO65383 WCK65383 WMG65383 WWC65383 JQ130919 TM130919 ADI130919 ANE130919 AXA130919 BGW130919 BQS130919 CAO130919 CKK130919 CUG130919 DEC130919 DNY130919 DXU130919 EHQ130919 ERM130919 FBI130919 FLE130919 FVA130919 GEW130919 GOS130919 GYO130919 HIK130919 HSG130919 ICC130919 ILY130919 IVU130919 JFQ130919 JPM130919 JZI130919 KJE130919 KTA130919 LCW130919 LMS130919 LWO130919 MGK130919 MQG130919 NAC130919 NJY130919 NTU130919 ODQ130919 ONM130919 OXI130919 PHE130919 PRA130919 QAW130919 QKS130919 QUO130919 REK130919 ROG130919 RYC130919 SHY130919 SRU130919 TBQ130919 TLM130919 TVI130919 UFE130919 UPA130919 UYW130919 VIS130919 VSO130919 WCK130919 WMG130919 WWC130919 JQ196455 TM196455 ADI196455 ANE196455 AXA196455 BGW196455 BQS196455 CAO196455 CKK196455 CUG196455 DEC196455 DNY196455 DXU196455 EHQ196455 ERM196455 FBI196455 FLE196455 FVA196455 GEW196455 GOS196455 GYO196455 HIK196455 HSG196455 ICC196455 ILY196455 IVU196455 JFQ196455 JPM196455 JZI196455 KJE196455 KTA196455 LCW196455 LMS196455 LWO196455 MGK196455 MQG196455 NAC196455 NJY196455 NTU196455 ODQ196455 ONM196455 OXI196455 PHE196455 PRA196455 QAW196455 QKS196455 QUO196455 REK196455 ROG196455 RYC196455 SHY196455 SRU196455 TBQ196455 TLM196455 TVI196455 UFE196455 UPA196455 UYW196455 VIS196455 VSO196455 WCK196455 WMG196455 WWC196455 JQ261991 TM261991 ADI261991 ANE261991 AXA261991 BGW261991 BQS261991 CAO261991 CKK261991 CUG261991 DEC261991 DNY261991 DXU261991 EHQ261991 ERM261991 FBI261991 FLE261991 FVA261991 GEW261991 GOS261991 GYO261991 HIK261991 HSG261991 ICC261991 ILY261991 IVU261991 JFQ261991 JPM261991 JZI261991 KJE261991 KTA261991 LCW261991 LMS261991 LWO261991 MGK261991 MQG261991 NAC261991 NJY261991 NTU261991 ODQ261991 ONM261991 OXI261991 PHE261991 PRA261991 QAW261991 QKS261991 QUO261991 REK261991 ROG261991 RYC261991 SHY261991 SRU261991 TBQ261991 TLM261991 TVI261991 UFE261991 UPA261991 UYW261991 VIS261991 VSO261991 WCK261991 WMG261991 WWC261991 JQ327527 TM327527 ADI327527 ANE327527 AXA327527 BGW327527 BQS327527 CAO327527 CKK327527 CUG327527 DEC327527 DNY327527 DXU327527 EHQ327527 ERM327527 FBI327527 FLE327527 FVA327527 GEW327527 GOS327527 GYO327527 HIK327527 HSG327527 ICC327527 ILY327527 IVU327527 JFQ327527 JPM327527 JZI327527 KJE327527 KTA327527 LCW327527 LMS327527 LWO327527 MGK327527 MQG327527 NAC327527 NJY327527 NTU327527 ODQ327527 ONM327527 OXI327527 PHE327527 PRA327527 QAW327527 QKS327527 QUO327527 REK327527 ROG327527 RYC327527 SHY327527 SRU327527 TBQ327527 TLM327527 TVI327527 UFE327527 UPA327527 UYW327527 VIS327527 VSO327527 WCK327527 WMG327527 WWC327527 JQ393063 TM393063 ADI393063 ANE393063 AXA393063 BGW393063 BQS393063 CAO393063 CKK393063 CUG393063 DEC393063 DNY393063 DXU393063 EHQ393063 ERM393063 FBI393063 FLE393063 FVA393063 GEW393063 GOS393063 GYO393063 HIK393063 HSG393063 ICC393063 ILY393063 IVU393063 JFQ393063 JPM393063 JZI393063 KJE393063 KTA393063 LCW393063 LMS393063 LWO393063 MGK393063 MQG393063 NAC393063 NJY393063 NTU393063 ODQ393063 ONM393063 OXI393063 PHE393063 PRA393063 QAW393063 QKS393063 QUO393063 REK393063 ROG393063 RYC393063 SHY393063 SRU393063 TBQ393063 TLM393063 TVI393063 UFE393063 UPA393063 UYW393063 VIS393063 VSO393063 WCK393063 WMG393063 WWC393063 JQ458599 TM458599 ADI458599 ANE458599 AXA458599 BGW458599 BQS458599 CAO458599 CKK458599 CUG458599 DEC458599 DNY458599 DXU458599 EHQ458599 ERM458599 FBI458599 FLE458599 FVA458599 GEW458599 GOS458599 GYO458599 HIK458599 HSG458599 ICC458599 ILY458599 IVU458599 JFQ458599 JPM458599 JZI458599 KJE458599 KTA458599 LCW458599 LMS458599 LWO458599 MGK458599 MQG458599 NAC458599 NJY458599 NTU458599 ODQ458599 ONM458599 OXI458599 PHE458599 PRA458599 QAW458599 QKS458599 QUO458599 REK458599 ROG458599 RYC458599 SHY458599 SRU458599 TBQ458599 TLM458599 TVI458599 UFE458599 UPA458599 UYW458599 VIS458599 VSO458599 WCK458599 WMG458599 WWC458599 JQ524135 TM524135 ADI524135 ANE524135 AXA524135 BGW524135 BQS524135 CAO524135 CKK524135 CUG524135 DEC524135 DNY524135 DXU524135 EHQ524135 ERM524135 FBI524135 FLE524135 FVA524135 GEW524135 GOS524135 GYO524135 HIK524135 HSG524135 ICC524135 ILY524135 IVU524135 JFQ524135 JPM524135 JZI524135 KJE524135 KTA524135 LCW524135 LMS524135 LWO524135 MGK524135 MQG524135 NAC524135 NJY524135 NTU524135 ODQ524135 ONM524135 OXI524135 PHE524135 PRA524135 QAW524135 QKS524135 QUO524135 REK524135 ROG524135 RYC524135 SHY524135 SRU524135 TBQ524135 TLM524135 TVI524135 UFE524135 UPA524135 UYW524135 VIS524135 VSO524135 WCK524135 WMG524135 WWC524135 JQ589671 TM589671 ADI589671 ANE589671 AXA589671 BGW589671 BQS589671 CAO589671 CKK589671 CUG589671 DEC589671 DNY589671 DXU589671 EHQ589671 ERM589671 FBI589671 FLE589671 FVA589671 GEW589671 GOS589671 GYO589671 HIK589671 HSG589671 ICC589671 ILY589671 IVU589671 JFQ589671 JPM589671 JZI589671 KJE589671 KTA589671 LCW589671 LMS589671 LWO589671 MGK589671 MQG589671 NAC589671 NJY589671 NTU589671 ODQ589671 ONM589671 OXI589671 PHE589671 PRA589671 QAW589671 QKS589671 QUO589671 REK589671 ROG589671 RYC589671 SHY589671 SRU589671 TBQ589671 TLM589671 TVI589671 UFE589671 UPA589671 UYW589671 VIS589671 VSO589671 WCK589671 WMG589671 WWC589671 JQ655207 TM655207 ADI655207 ANE655207 AXA655207 BGW655207 BQS655207 CAO655207 CKK655207 CUG655207 DEC655207 DNY655207 DXU655207 EHQ655207 ERM655207 FBI655207 FLE655207 FVA655207 GEW655207 GOS655207 GYO655207 HIK655207 HSG655207 ICC655207 ILY655207 IVU655207 JFQ655207 JPM655207 JZI655207 KJE655207 KTA655207 LCW655207 LMS655207 LWO655207 MGK655207 MQG655207 NAC655207 NJY655207 NTU655207 ODQ655207 ONM655207 OXI655207 PHE655207 PRA655207 QAW655207 QKS655207 QUO655207 REK655207 ROG655207 RYC655207 SHY655207 SRU655207 TBQ655207 TLM655207 TVI655207 UFE655207 UPA655207 UYW655207 VIS655207 VSO655207 WCK655207 WMG655207 WWC655207 JQ720743 TM720743 ADI720743 ANE720743 AXA720743 BGW720743 BQS720743 CAO720743 CKK720743 CUG720743 DEC720743 DNY720743 DXU720743 EHQ720743 ERM720743 FBI720743 FLE720743 FVA720743 GEW720743 GOS720743 GYO720743 HIK720743 HSG720743 ICC720743 ILY720743 IVU720743 JFQ720743 JPM720743 JZI720743 KJE720743 KTA720743 LCW720743 LMS720743 LWO720743 MGK720743 MQG720743 NAC720743 NJY720743 NTU720743 ODQ720743 ONM720743 OXI720743 PHE720743 PRA720743 QAW720743 QKS720743 QUO720743 REK720743 ROG720743 RYC720743 SHY720743 SRU720743 TBQ720743 TLM720743 TVI720743 UFE720743 UPA720743 UYW720743 VIS720743 VSO720743 WCK720743 WMG720743 WWC720743 JQ786279 TM786279 ADI786279 ANE786279 AXA786279 BGW786279 BQS786279 CAO786279 CKK786279 CUG786279 DEC786279 DNY786279 DXU786279 EHQ786279 ERM786279 FBI786279 FLE786279 FVA786279 GEW786279 GOS786279 GYO786279 HIK786279 HSG786279 ICC786279 ILY786279 IVU786279 JFQ786279 JPM786279 JZI786279 KJE786279 KTA786279 LCW786279 LMS786279 LWO786279 MGK786279 MQG786279 NAC786279 NJY786279 NTU786279 ODQ786279 ONM786279 OXI786279 PHE786279 PRA786279 QAW786279 QKS786279 QUO786279 REK786279 ROG786279 RYC786279 SHY786279 SRU786279 TBQ786279 TLM786279 TVI786279 UFE786279 UPA786279 UYW786279 VIS786279 VSO786279 WCK786279 WMG786279 WWC786279 JQ851815 TM851815 ADI851815 ANE851815 AXA851815 BGW851815 BQS851815 CAO851815 CKK851815 CUG851815 DEC851815 DNY851815 DXU851815 EHQ851815 ERM851815 FBI851815 FLE851815 FVA851815 GEW851815 GOS851815 GYO851815 HIK851815 HSG851815 ICC851815 ILY851815 IVU851815 JFQ851815 JPM851815 JZI851815 KJE851815 KTA851815 LCW851815 LMS851815 LWO851815 MGK851815 MQG851815 NAC851815 NJY851815 NTU851815 ODQ851815 ONM851815 OXI851815 PHE851815 PRA851815 QAW851815 QKS851815 QUO851815 REK851815 ROG851815 RYC851815 SHY851815 SRU851815 TBQ851815 TLM851815 TVI851815 UFE851815 UPA851815 UYW851815 VIS851815 VSO851815 WCK851815 WMG851815 WWC851815 JQ917351 TM917351 ADI917351 ANE917351 AXA917351 BGW917351 BQS917351 CAO917351 CKK917351 CUG917351 DEC917351 DNY917351 DXU917351 EHQ917351 ERM917351 FBI917351 FLE917351 FVA917351 GEW917351 GOS917351 GYO917351 HIK917351 HSG917351 ICC917351 ILY917351 IVU917351 JFQ917351 JPM917351 JZI917351 KJE917351 KTA917351 LCW917351 LMS917351 LWO917351 MGK917351 MQG917351 NAC917351 NJY917351 NTU917351 ODQ917351 ONM917351 OXI917351 PHE917351 PRA917351 QAW917351 QKS917351 QUO917351 REK917351 ROG917351 RYC917351 SHY917351 SRU917351 TBQ917351 TLM917351 TVI917351 UFE917351 UPA917351 UYW917351 VIS917351 VSO917351 WCK917351 WMG917351 WWC917351 JQ982887 TM982887 ADI982887 ANE982887 AXA982887 BGW982887 BQS982887 CAO982887 CKK982887 CUG982887 DEC982887 DNY982887 DXU982887 EHQ982887 ERM982887 FBI982887 FLE982887 FVA982887 GEW982887 GOS982887 GYO982887 HIK982887 HSG982887 ICC982887 ILY982887 IVU982887 JFQ982887 JPM982887 JZI982887 KJE982887 KTA982887 LCW982887 LMS982887 LWO982887 MGK982887 MQG982887 NAC982887 NJY982887 NTU982887 ODQ982887 ONM982887 OXI982887 PHE982887 PRA982887 QAW982887 QKS982887 QUO982887 REK982887 ROG982887 RYC982887 SHY982887 SRU982887 TBQ982887 TLM982887 TVI982887 UFE982887 UPA982887 UYW982887 VIS982887 VSO982887 WCK982887 WMG982887 WWC982887"/>
  </dataValidations>
  <pageMargins left="0.25" right="0.25" top="0.75" bottom="0.75" header="0.3" footer="0.3"/>
  <pageSetup paperSize="9" fitToWidth="0" fitToHeight="0" orientation="landscape" r:id="rId1"/>
  <headerFooter>
    <oddHeader>&amp;L&amp;"Arial,Regular"TII Publications
Design of Road Lighting for the National Road Network&amp;R&amp;"Arial,Regular"DN-LHT-03038
July 2018</oddHeader>
    <oddFooter>&amp;L&amp;"Arial,Regular"Lighting Evaluation Tool &amp; Justification for Lighting the Mainline
Appendix B1&amp;R&amp;"Arial,Regular"&amp;A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tabSelected="1" view="pageLayout" zoomScale="85" zoomScaleNormal="100" zoomScalePageLayoutView="85" workbookViewId="0">
      <selection activeCell="B10" sqref="B10"/>
    </sheetView>
  </sheetViews>
  <sheetFormatPr defaultRowHeight="15" customHeight="1" x14ac:dyDescent="0.3"/>
  <cols>
    <col min="1" max="1" width="2.6640625" style="2" customWidth="1"/>
    <col min="2" max="10" width="7.6640625" style="2" customWidth="1"/>
    <col min="11" max="11" width="11.6640625" style="2" customWidth="1"/>
    <col min="12" max="12" width="7.6640625" style="2" customWidth="1"/>
    <col min="13" max="13" width="6.33203125" style="2" customWidth="1"/>
    <col min="14" max="14" width="11.88671875" style="2" customWidth="1"/>
    <col min="15" max="16" width="14.33203125" style="8" customWidth="1"/>
    <col min="17" max="17" width="4" style="2" customWidth="1"/>
    <col min="18" max="257" width="7.6640625" style="2" customWidth="1"/>
    <col min="258" max="258" width="14.33203125" style="2" customWidth="1"/>
    <col min="259" max="259" width="4" style="2" customWidth="1"/>
    <col min="260" max="260" width="14.33203125" style="2" customWidth="1"/>
    <col min="261" max="261" width="4" style="2" customWidth="1"/>
    <col min="262" max="513" width="7.6640625" style="2" customWidth="1"/>
    <col min="514" max="514" width="14.33203125" style="2" customWidth="1"/>
    <col min="515" max="515" width="4" style="2" customWidth="1"/>
    <col min="516" max="516" width="14.33203125" style="2" customWidth="1"/>
    <col min="517" max="517" width="4" style="2" customWidth="1"/>
    <col min="518" max="769" width="7.6640625" style="2" customWidth="1"/>
    <col min="770" max="770" width="14.33203125" style="2" customWidth="1"/>
    <col min="771" max="771" width="4" style="2" customWidth="1"/>
    <col min="772" max="772" width="14.33203125" style="2" customWidth="1"/>
    <col min="773" max="773" width="4" style="2" customWidth="1"/>
    <col min="774" max="1025" width="7.6640625" style="2" customWidth="1"/>
    <col min="1026" max="1026" width="14.33203125" style="2" customWidth="1"/>
    <col min="1027" max="1027" width="4" style="2" customWidth="1"/>
    <col min="1028" max="1028" width="14.33203125" style="2" customWidth="1"/>
    <col min="1029" max="1029" width="4" style="2" customWidth="1"/>
    <col min="1030" max="1281" width="7.6640625" style="2" customWidth="1"/>
    <col min="1282" max="1282" width="14.33203125" style="2" customWidth="1"/>
    <col min="1283" max="1283" width="4" style="2" customWidth="1"/>
    <col min="1284" max="1284" width="14.33203125" style="2" customWidth="1"/>
    <col min="1285" max="1285" width="4" style="2" customWidth="1"/>
    <col min="1286" max="1537" width="7.6640625" style="2" customWidth="1"/>
    <col min="1538" max="1538" width="14.33203125" style="2" customWidth="1"/>
    <col min="1539" max="1539" width="4" style="2" customWidth="1"/>
    <col min="1540" max="1540" width="14.33203125" style="2" customWidth="1"/>
    <col min="1541" max="1541" width="4" style="2" customWidth="1"/>
    <col min="1542" max="1793" width="7.6640625" style="2" customWidth="1"/>
    <col min="1794" max="1794" width="14.33203125" style="2" customWidth="1"/>
    <col min="1795" max="1795" width="4" style="2" customWidth="1"/>
    <col min="1796" max="1796" width="14.33203125" style="2" customWidth="1"/>
    <col min="1797" max="1797" width="4" style="2" customWidth="1"/>
    <col min="1798" max="2049" width="7.6640625" style="2" customWidth="1"/>
    <col min="2050" max="2050" width="14.33203125" style="2" customWidth="1"/>
    <col min="2051" max="2051" width="4" style="2" customWidth="1"/>
    <col min="2052" max="2052" width="14.33203125" style="2" customWidth="1"/>
    <col min="2053" max="2053" width="4" style="2" customWidth="1"/>
    <col min="2054" max="2305" width="7.6640625" style="2" customWidth="1"/>
    <col min="2306" max="2306" width="14.33203125" style="2" customWidth="1"/>
    <col min="2307" max="2307" width="4" style="2" customWidth="1"/>
    <col min="2308" max="2308" width="14.33203125" style="2" customWidth="1"/>
    <col min="2309" max="2309" width="4" style="2" customWidth="1"/>
    <col min="2310" max="2561" width="7.6640625" style="2" customWidth="1"/>
    <col min="2562" max="2562" width="14.33203125" style="2" customWidth="1"/>
    <col min="2563" max="2563" width="4" style="2" customWidth="1"/>
    <col min="2564" max="2564" width="14.33203125" style="2" customWidth="1"/>
    <col min="2565" max="2565" width="4" style="2" customWidth="1"/>
    <col min="2566" max="2817" width="7.6640625" style="2" customWidth="1"/>
    <col min="2818" max="2818" width="14.33203125" style="2" customWidth="1"/>
    <col min="2819" max="2819" width="4" style="2" customWidth="1"/>
    <col min="2820" max="2820" width="14.33203125" style="2" customWidth="1"/>
    <col min="2821" max="2821" width="4" style="2" customWidth="1"/>
    <col min="2822" max="3073" width="7.6640625" style="2" customWidth="1"/>
    <col min="3074" max="3074" width="14.33203125" style="2" customWidth="1"/>
    <col min="3075" max="3075" width="4" style="2" customWidth="1"/>
    <col min="3076" max="3076" width="14.33203125" style="2" customWidth="1"/>
    <col min="3077" max="3077" width="4" style="2" customWidth="1"/>
    <col min="3078" max="3329" width="7.6640625" style="2" customWidth="1"/>
    <col min="3330" max="3330" width="14.33203125" style="2" customWidth="1"/>
    <col min="3331" max="3331" width="4" style="2" customWidth="1"/>
    <col min="3332" max="3332" width="14.33203125" style="2" customWidth="1"/>
    <col min="3333" max="3333" width="4" style="2" customWidth="1"/>
    <col min="3334" max="3585" width="7.6640625" style="2" customWidth="1"/>
    <col min="3586" max="3586" width="14.33203125" style="2" customWidth="1"/>
    <col min="3587" max="3587" width="4" style="2" customWidth="1"/>
    <col min="3588" max="3588" width="14.33203125" style="2" customWidth="1"/>
    <col min="3589" max="3589" width="4" style="2" customWidth="1"/>
    <col min="3590" max="3841" width="7.6640625" style="2" customWidth="1"/>
    <col min="3842" max="3842" width="14.33203125" style="2" customWidth="1"/>
    <col min="3843" max="3843" width="4" style="2" customWidth="1"/>
    <col min="3844" max="3844" width="14.33203125" style="2" customWidth="1"/>
    <col min="3845" max="3845" width="4" style="2" customWidth="1"/>
    <col min="3846" max="4097" width="7.6640625" style="2" customWidth="1"/>
    <col min="4098" max="4098" width="14.33203125" style="2" customWidth="1"/>
    <col min="4099" max="4099" width="4" style="2" customWidth="1"/>
    <col min="4100" max="4100" width="14.33203125" style="2" customWidth="1"/>
    <col min="4101" max="4101" width="4" style="2" customWidth="1"/>
    <col min="4102" max="4353" width="7.6640625" style="2" customWidth="1"/>
    <col min="4354" max="4354" width="14.33203125" style="2" customWidth="1"/>
    <col min="4355" max="4355" width="4" style="2" customWidth="1"/>
    <col min="4356" max="4356" width="14.33203125" style="2" customWidth="1"/>
    <col min="4357" max="4357" width="4" style="2" customWidth="1"/>
    <col min="4358" max="4609" width="7.6640625" style="2" customWidth="1"/>
    <col min="4610" max="4610" width="14.33203125" style="2" customWidth="1"/>
    <col min="4611" max="4611" width="4" style="2" customWidth="1"/>
    <col min="4612" max="4612" width="14.33203125" style="2" customWidth="1"/>
    <col min="4613" max="4613" width="4" style="2" customWidth="1"/>
    <col min="4614" max="4865" width="7.6640625" style="2" customWidth="1"/>
    <col min="4866" max="4866" width="14.33203125" style="2" customWidth="1"/>
    <col min="4867" max="4867" width="4" style="2" customWidth="1"/>
    <col min="4868" max="4868" width="14.33203125" style="2" customWidth="1"/>
    <col min="4869" max="4869" width="4" style="2" customWidth="1"/>
    <col min="4870" max="5121" width="7.6640625" style="2" customWidth="1"/>
    <col min="5122" max="5122" width="14.33203125" style="2" customWidth="1"/>
    <col min="5123" max="5123" width="4" style="2" customWidth="1"/>
    <col min="5124" max="5124" width="14.33203125" style="2" customWidth="1"/>
    <col min="5125" max="5125" width="4" style="2" customWidth="1"/>
    <col min="5126" max="5377" width="7.6640625" style="2" customWidth="1"/>
    <col min="5378" max="5378" width="14.33203125" style="2" customWidth="1"/>
    <col min="5379" max="5379" width="4" style="2" customWidth="1"/>
    <col min="5380" max="5380" width="14.33203125" style="2" customWidth="1"/>
    <col min="5381" max="5381" width="4" style="2" customWidth="1"/>
    <col min="5382" max="5633" width="7.6640625" style="2" customWidth="1"/>
    <col min="5634" max="5634" width="14.33203125" style="2" customWidth="1"/>
    <col min="5635" max="5635" width="4" style="2" customWidth="1"/>
    <col min="5636" max="5636" width="14.33203125" style="2" customWidth="1"/>
    <col min="5637" max="5637" width="4" style="2" customWidth="1"/>
    <col min="5638" max="5889" width="7.6640625" style="2" customWidth="1"/>
    <col min="5890" max="5890" width="14.33203125" style="2" customWidth="1"/>
    <col min="5891" max="5891" width="4" style="2" customWidth="1"/>
    <col min="5892" max="5892" width="14.33203125" style="2" customWidth="1"/>
    <col min="5893" max="5893" width="4" style="2" customWidth="1"/>
    <col min="5894" max="6145" width="7.6640625" style="2" customWidth="1"/>
    <col min="6146" max="6146" width="14.33203125" style="2" customWidth="1"/>
    <col min="6147" max="6147" width="4" style="2" customWidth="1"/>
    <col min="6148" max="6148" width="14.33203125" style="2" customWidth="1"/>
    <col min="6149" max="6149" width="4" style="2" customWidth="1"/>
    <col min="6150" max="6401" width="7.6640625" style="2" customWidth="1"/>
    <col min="6402" max="6402" width="14.33203125" style="2" customWidth="1"/>
    <col min="6403" max="6403" width="4" style="2" customWidth="1"/>
    <col min="6404" max="6404" width="14.33203125" style="2" customWidth="1"/>
    <col min="6405" max="6405" width="4" style="2" customWidth="1"/>
    <col min="6406" max="6657" width="7.6640625" style="2" customWidth="1"/>
    <col min="6658" max="6658" width="14.33203125" style="2" customWidth="1"/>
    <col min="6659" max="6659" width="4" style="2" customWidth="1"/>
    <col min="6660" max="6660" width="14.33203125" style="2" customWidth="1"/>
    <col min="6661" max="6661" width="4" style="2" customWidth="1"/>
    <col min="6662" max="6913" width="7.6640625" style="2" customWidth="1"/>
    <col min="6914" max="6914" width="14.33203125" style="2" customWidth="1"/>
    <col min="6915" max="6915" width="4" style="2" customWidth="1"/>
    <col min="6916" max="6916" width="14.33203125" style="2" customWidth="1"/>
    <col min="6917" max="6917" width="4" style="2" customWidth="1"/>
    <col min="6918" max="7169" width="7.6640625" style="2" customWidth="1"/>
    <col min="7170" max="7170" width="14.33203125" style="2" customWidth="1"/>
    <col min="7171" max="7171" width="4" style="2" customWidth="1"/>
    <col min="7172" max="7172" width="14.33203125" style="2" customWidth="1"/>
    <col min="7173" max="7173" width="4" style="2" customWidth="1"/>
    <col min="7174" max="7425" width="7.6640625" style="2" customWidth="1"/>
    <col min="7426" max="7426" width="14.33203125" style="2" customWidth="1"/>
    <col min="7427" max="7427" width="4" style="2" customWidth="1"/>
    <col min="7428" max="7428" width="14.33203125" style="2" customWidth="1"/>
    <col min="7429" max="7429" width="4" style="2" customWidth="1"/>
    <col min="7430" max="7681" width="7.6640625" style="2" customWidth="1"/>
    <col min="7682" max="7682" width="14.33203125" style="2" customWidth="1"/>
    <col min="7683" max="7683" width="4" style="2" customWidth="1"/>
    <col min="7684" max="7684" width="14.33203125" style="2" customWidth="1"/>
    <col min="7685" max="7685" width="4" style="2" customWidth="1"/>
    <col min="7686" max="7937" width="7.6640625" style="2" customWidth="1"/>
    <col min="7938" max="7938" width="14.33203125" style="2" customWidth="1"/>
    <col min="7939" max="7939" width="4" style="2" customWidth="1"/>
    <col min="7940" max="7940" width="14.33203125" style="2" customWidth="1"/>
    <col min="7941" max="7941" width="4" style="2" customWidth="1"/>
    <col min="7942" max="8193" width="7.6640625" style="2" customWidth="1"/>
    <col min="8194" max="8194" width="14.33203125" style="2" customWidth="1"/>
    <col min="8195" max="8195" width="4" style="2" customWidth="1"/>
    <col min="8196" max="8196" width="14.33203125" style="2" customWidth="1"/>
    <col min="8197" max="8197" width="4" style="2" customWidth="1"/>
    <col min="8198" max="8449" width="7.6640625" style="2" customWidth="1"/>
    <col min="8450" max="8450" width="14.33203125" style="2" customWidth="1"/>
    <col min="8451" max="8451" width="4" style="2" customWidth="1"/>
    <col min="8452" max="8452" width="14.33203125" style="2" customWidth="1"/>
    <col min="8453" max="8453" width="4" style="2" customWidth="1"/>
    <col min="8454" max="8705" width="7.6640625" style="2" customWidth="1"/>
    <col min="8706" max="8706" width="14.33203125" style="2" customWidth="1"/>
    <col min="8707" max="8707" width="4" style="2" customWidth="1"/>
    <col min="8708" max="8708" width="14.33203125" style="2" customWidth="1"/>
    <col min="8709" max="8709" width="4" style="2" customWidth="1"/>
    <col min="8710" max="8961" width="7.6640625" style="2" customWidth="1"/>
    <col min="8962" max="8962" width="14.33203125" style="2" customWidth="1"/>
    <col min="8963" max="8963" width="4" style="2" customWidth="1"/>
    <col min="8964" max="8964" width="14.33203125" style="2" customWidth="1"/>
    <col min="8965" max="8965" width="4" style="2" customWidth="1"/>
    <col min="8966" max="9217" width="7.6640625" style="2" customWidth="1"/>
    <col min="9218" max="9218" width="14.33203125" style="2" customWidth="1"/>
    <col min="9219" max="9219" width="4" style="2" customWidth="1"/>
    <col min="9220" max="9220" width="14.33203125" style="2" customWidth="1"/>
    <col min="9221" max="9221" width="4" style="2" customWidth="1"/>
    <col min="9222" max="9473" width="7.6640625" style="2" customWidth="1"/>
    <col min="9474" max="9474" width="14.33203125" style="2" customWidth="1"/>
    <col min="9475" max="9475" width="4" style="2" customWidth="1"/>
    <col min="9476" max="9476" width="14.33203125" style="2" customWidth="1"/>
    <col min="9477" max="9477" width="4" style="2" customWidth="1"/>
    <col min="9478" max="9729" width="7.6640625" style="2" customWidth="1"/>
    <col min="9730" max="9730" width="14.33203125" style="2" customWidth="1"/>
    <col min="9731" max="9731" width="4" style="2" customWidth="1"/>
    <col min="9732" max="9732" width="14.33203125" style="2" customWidth="1"/>
    <col min="9733" max="9733" width="4" style="2" customWidth="1"/>
    <col min="9734" max="9985" width="7.6640625" style="2" customWidth="1"/>
    <col min="9986" max="9986" width="14.33203125" style="2" customWidth="1"/>
    <col min="9987" max="9987" width="4" style="2" customWidth="1"/>
    <col min="9988" max="9988" width="14.33203125" style="2" customWidth="1"/>
    <col min="9989" max="9989" width="4" style="2" customWidth="1"/>
    <col min="9990" max="10241" width="7.6640625" style="2" customWidth="1"/>
    <col min="10242" max="10242" width="14.33203125" style="2" customWidth="1"/>
    <col min="10243" max="10243" width="4" style="2" customWidth="1"/>
    <col min="10244" max="10244" width="14.33203125" style="2" customWidth="1"/>
    <col min="10245" max="10245" width="4" style="2" customWidth="1"/>
    <col min="10246" max="10497" width="7.6640625" style="2" customWidth="1"/>
    <col min="10498" max="10498" width="14.33203125" style="2" customWidth="1"/>
    <col min="10499" max="10499" width="4" style="2" customWidth="1"/>
    <col min="10500" max="10500" width="14.33203125" style="2" customWidth="1"/>
    <col min="10501" max="10501" width="4" style="2" customWidth="1"/>
    <col min="10502" max="10753" width="7.6640625" style="2" customWidth="1"/>
    <col min="10754" max="10754" width="14.33203125" style="2" customWidth="1"/>
    <col min="10755" max="10755" width="4" style="2" customWidth="1"/>
    <col min="10756" max="10756" width="14.33203125" style="2" customWidth="1"/>
    <col min="10757" max="10757" width="4" style="2" customWidth="1"/>
    <col min="10758" max="11009" width="7.6640625" style="2" customWidth="1"/>
    <col min="11010" max="11010" width="14.33203125" style="2" customWidth="1"/>
    <col min="11011" max="11011" width="4" style="2" customWidth="1"/>
    <col min="11012" max="11012" width="14.33203125" style="2" customWidth="1"/>
    <col min="11013" max="11013" width="4" style="2" customWidth="1"/>
    <col min="11014" max="11265" width="7.6640625" style="2" customWidth="1"/>
    <col min="11266" max="11266" width="14.33203125" style="2" customWidth="1"/>
    <col min="11267" max="11267" width="4" style="2" customWidth="1"/>
    <col min="11268" max="11268" width="14.33203125" style="2" customWidth="1"/>
    <col min="11269" max="11269" width="4" style="2" customWidth="1"/>
    <col min="11270" max="11521" width="7.6640625" style="2" customWidth="1"/>
    <col min="11522" max="11522" width="14.33203125" style="2" customWidth="1"/>
    <col min="11523" max="11523" width="4" style="2" customWidth="1"/>
    <col min="11524" max="11524" width="14.33203125" style="2" customWidth="1"/>
    <col min="11525" max="11525" width="4" style="2" customWidth="1"/>
    <col min="11526" max="11777" width="7.6640625" style="2" customWidth="1"/>
    <col min="11778" max="11778" width="14.33203125" style="2" customWidth="1"/>
    <col min="11779" max="11779" width="4" style="2" customWidth="1"/>
    <col min="11780" max="11780" width="14.33203125" style="2" customWidth="1"/>
    <col min="11781" max="11781" width="4" style="2" customWidth="1"/>
    <col min="11782" max="12033" width="7.6640625" style="2" customWidth="1"/>
    <col min="12034" max="12034" width="14.33203125" style="2" customWidth="1"/>
    <col min="12035" max="12035" width="4" style="2" customWidth="1"/>
    <col min="12036" max="12036" width="14.33203125" style="2" customWidth="1"/>
    <col min="12037" max="12037" width="4" style="2" customWidth="1"/>
    <col min="12038" max="12289" width="7.6640625" style="2" customWidth="1"/>
    <col min="12290" max="12290" width="14.33203125" style="2" customWidth="1"/>
    <col min="12291" max="12291" width="4" style="2" customWidth="1"/>
    <col min="12292" max="12292" width="14.33203125" style="2" customWidth="1"/>
    <col min="12293" max="12293" width="4" style="2" customWidth="1"/>
    <col min="12294" max="12545" width="7.6640625" style="2" customWidth="1"/>
    <col min="12546" max="12546" width="14.33203125" style="2" customWidth="1"/>
    <col min="12547" max="12547" width="4" style="2" customWidth="1"/>
    <col min="12548" max="12548" width="14.33203125" style="2" customWidth="1"/>
    <col min="12549" max="12549" width="4" style="2" customWidth="1"/>
    <col min="12550" max="12801" width="7.6640625" style="2" customWidth="1"/>
    <col min="12802" max="12802" width="14.33203125" style="2" customWidth="1"/>
    <col min="12803" max="12803" width="4" style="2" customWidth="1"/>
    <col min="12804" max="12804" width="14.33203125" style="2" customWidth="1"/>
    <col min="12805" max="12805" width="4" style="2" customWidth="1"/>
    <col min="12806" max="13057" width="7.6640625" style="2" customWidth="1"/>
    <col min="13058" max="13058" width="14.33203125" style="2" customWidth="1"/>
    <col min="13059" max="13059" width="4" style="2" customWidth="1"/>
    <col min="13060" max="13060" width="14.33203125" style="2" customWidth="1"/>
    <col min="13061" max="13061" width="4" style="2" customWidth="1"/>
    <col min="13062" max="13313" width="7.6640625" style="2" customWidth="1"/>
    <col min="13314" max="13314" width="14.33203125" style="2" customWidth="1"/>
    <col min="13315" max="13315" width="4" style="2" customWidth="1"/>
    <col min="13316" max="13316" width="14.33203125" style="2" customWidth="1"/>
    <col min="13317" max="13317" width="4" style="2" customWidth="1"/>
    <col min="13318" max="13569" width="7.6640625" style="2" customWidth="1"/>
    <col min="13570" max="13570" width="14.33203125" style="2" customWidth="1"/>
    <col min="13571" max="13571" width="4" style="2" customWidth="1"/>
    <col min="13572" max="13572" width="14.33203125" style="2" customWidth="1"/>
    <col min="13573" max="13573" width="4" style="2" customWidth="1"/>
    <col min="13574" max="13825" width="7.6640625" style="2" customWidth="1"/>
    <col min="13826" max="13826" width="14.33203125" style="2" customWidth="1"/>
    <col min="13827" max="13827" width="4" style="2" customWidth="1"/>
    <col min="13828" max="13828" width="14.33203125" style="2" customWidth="1"/>
    <col min="13829" max="13829" width="4" style="2" customWidth="1"/>
    <col min="13830" max="14081" width="7.6640625" style="2" customWidth="1"/>
    <col min="14082" max="14082" width="14.33203125" style="2" customWidth="1"/>
    <col min="14083" max="14083" width="4" style="2" customWidth="1"/>
    <col min="14084" max="14084" width="14.33203125" style="2" customWidth="1"/>
    <col min="14085" max="14085" width="4" style="2" customWidth="1"/>
    <col min="14086" max="14337" width="7.6640625" style="2" customWidth="1"/>
    <col min="14338" max="14338" width="14.33203125" style="2" customWidth="1"/>
    <col min="14339" max="14339" width="4" style="2" customWidth="1"/>
    <col min="14340" max="14340" width="14.33203125" style="2" customWidth="1"/>
    <col min="14341" max="14341" width="4" style="2" customWidth="1"/>
    <col min="14342" max="14593" width="7.6640625" style="2" customWidth="1"/>
    <col min="14594" max="14594" width="14.33203125" style="2" customWidth="1"/>
    <col min="14595" max="14595" width="4" style="2" customWidth="1"/>
    <col min="14596" max="14596" width="14.33203125" style="2" customWidth="1"/>
    <col min="14597" max="14597" width="4" style="2" customWidth="1"/>
    <col min="14598" max="14849" width="7.6640625" style="2" customWidth="1"/>
    <col min="14850" max="14850" width="14.33203125" style="2" customWidth="1"/>
    <col min="14851" max="14851" width="4" style="2" customWidth="1"/>
    <col min="14852" max="14852" width="14.33203125" style="2" customWidth="1"/>
    <col min="14853" max="14853" width="4" style="2" customWidth="1"/>
    <col min="14854" max="15105" width="7.6640625" style="2" customWidth="1"/>
    <col min="15106" max="15106" width="14.33203125" style="2" customWidth="1"/>
    <col min="15107" max="15107" width="4" style="2" customWidth="1"/>
    <col min="15108" max="15108" width="14.33203125" style="2" customWidth="1"/>
    <col min="15109" max="15109" width="4" style="2" customWidth="1"/>
    <col min="15110" max="15361" width="7.6640625" style="2" customWidth="1"/>
    <col min="15362" max="15362" width="14.33203125" style="2" customWidth="1"/>
    <col min="15363" max="15363" width="4" style="2" customWidth="1"/>
    <col min="15364" max="15364" width="14.33203125" style="2" customWidth="1"/>
    <col min="15365" max="15365" width="4" style="2" customWidth="1"/>
    <col min="15366" max="15617" width="7.6640625" style="2" customWidth="1"/>
    <col min="15618" max="15618" width="14.33203125" style="2" customWidth="1"/>
    <col min="15619" max="15619" width="4" style="2" customWidth="1"/>
    <col min="15620" max="15620" width="14.33203125" style="2" customWidth="1"/>
    <col min="15621" max="15621" width="4" style="2" customWidth="1"/>
    <col min="15622" max="15873" width="7.6640625" style="2" customWidth="1"/>
    <col min="15874" max="15874" width="14.33203125" style="2" customWidth="1"/>
    <col min="15875" max="15875" width="4" style="2" customWidth="1"/>
    <col min="15876" max="15876" width="14.33203125" style="2" customWidth="1"/>
    <col min="15877" max="15877" width="4" style="2" customWidth="1"/>
    <col min="15878" max="16129" width="7.6640625" style="2" customWidth="1"/>
    <col min="16130" max="16130" width="14.33203125" style="2" customWidth="1"/>
    <col min="16131" max="16131" width="4" style="2" customWidth="1"/>
    <col min="16132" max="16132" width="14.33203125" style="2" customWidth="1"/>
    <col min="16133" max="16133" width="4" style="2" customWidth="1"/>
    <col min="16134" max="16384" width="7.6640625" style="2" customWidth="1"/>
  </cols>
  <sheetData>
    <row r="1" spans="1:18" ht="15" customHeight="1" x14ac:dyDescent="0.3">
      <c r="A1" s="1"/>
      <c r="B1" s="1"/>
      <c r="C1" s="1"/>
      <c r="D1" s="1"/>
      <c r="E1" s="1"/>
      <c r="F1" s="1"/>
      <c r="G1" s="1"/>
      <c r="H1" s="1"/>
      <c r="I1" s="1"/>
      <c r="J1" s="1"/>
      <c r="K1" s="1"/>
      <c r="L1" s="1"/>
      <c r="M1" s="1"/>
      <c r="N1" s="1"/>
      <c r="O1" s="64"/>
      <c r="P1" s="264"/>
      <c r="Q1" s="1"/>
    </row>
    <row r="2" spans="1:18" ht="15" customHeight="1" x14ac:dyDescent="0.3">
      <c r="A2" s="79"/>
      <c r="B2" s="589" t="s">
        <v>363</v>
      </c>
      <c r="C2" s="589"/>
      <c r="D2" s="589"/>
      <c r="E2" s="589"/>
      <c r="F2" s="191"/>
      <c r="G2" s="191"/>
      <c r="H2" s="191"/>
      <c r="I2" s="191"/>
      <c r="J2" s="947"/>
      <c r="K2" s="947"/>
      <c r="L2" s="947"/>
      <c r="M2" s="947"/>
      <c r="N2" s="79"/>
      <c r="O2" s="24" t="s">
        <v>173</v>
      </c>
      <c r="P2" s="509">
        <v>43101</v>
      </c>
      <c r="Q2" s="79"/>
    </row>
    <row r="3" spans="1:18" ht="15" customHeight="1" x14ac:dyDescent="0.3">
      <c r="A3" s="79"/>
      <c r="B3" s="615" t="s">
        <v>3</v>
      </c>
      <c r="C3" s="589"/>
      <c r="D3" s="589"/>
      <c r="E3" s="589"/>
      <c r="F3" s="191"/>
      <c r="G3" s="191"/>
      <c r="H3" s="191"/>
      <c r="I3" s="191"/>
      <c r="J3" s="947"/>
      <c r="K3" s="947"/>
      <c r="L3" s="947"/>
      <c r="M3" s="947"/>
      <c r="N3" s="3"/>
      <c r="O3" s="263"/>
      <c r="P3" s="3"/>
      <c r="Q3" s="79"/>
    </row>
    <row r="4" spans="1:18" ht="15" customHeight="1" x14ac:dyDescent="0.3">
      <c r="A4" s="79"/>
      <c r="C4" s="10"/>
      <c r="D4" s="10"/>
      <c r="E4" s="10"/>
      <c r="F4" s="3"/>
      <c r="G4" s="24"/>
      <c r="H4" s="180"/>
      <c r="I4" s="3"/>
      <c r="J4" s="3"/>
      <c r="L4" s="3"/>
      <c r="M4" s="3"/>
      <c r="N4" s="24"/>
      <c r="O4" s="24" t="s">
        <v>45</v>
      </c>
      <c r="P4" s="463">
        <v>0</v>
      </c>
      <c r="Q4" s="79"/>
    </row>
    <row r="5" spans="1:18" ht="15" customHeight="1" x14ac:dyDescent="0.3">
      <c r="A5" s="79"/>
      <c r="B5" s="9"/>
      <c r="C5" s="10"/>
      <c r="D5" s="10"/>
      <c r="E5" s="10"/>
      <c r="F5" s="3"/>
      <c r="G5" s="3"/>
      <c r="H5" s="3"/>
      <c r="I5" s="3"/>
      <c r="J5" s="3"/>
      <c r="K5" s="3"/>
      <c r="L5" s="3"/>
      <c r="M5" s="3"/>
      <c r="N5" s="3"/>
      <c r="O5" s="60"/>
      <c r="P5" s="60"/>
      <c r="Q5" s="79"/>
    </row>
    <row r="6" spans="1:18" ht="15" customHeight="1" x14ac:dyDescent="0.3">
      <c r="A6" s="79"/>
      <c r="B6" s="12" t="s">
        <v>107</v>
      </c>
      <c r="C6" s="10"/>
      <c r="D6" s="10"/>
      <c r="E6" s="10"/>
      <c r="F6" s="3"/>
      <c r="G6" s="3"/>
      <c r="H6" s="3"/>
      <c r="I6" s="3"/>
      <c r="J6" s="164" t="s">
        <v>163</v>
      </c>
      <c r="K6" s="3"/>
      <c r="L6" s="3"/>
      <c r="M6" s="3"/>
      <c r="N6" s="5" t="s">
        <v>264</v>
      </c>
      <c r="P6" s="5"/>
      <c r="Q6" s="79"/>
    </row>
    <row r="7" spans="1:18" ht="15" customHeight="1" x14ac:dyDescent="0.3">
      <c r="A7" s="79"/>
      <c r="B7" s="948" t="s">
        <v>388</v>
      </c>
      <c r="C7" s="949"/>
      <c r="D7" s="949"/>
      <c r="E7" s="949"/>
      <c r="F7" s="949"/>
      <c r="G7" s="949"/>
      <c r="H7" s="950"/>
      <c r="I7" s="3"/>
      <c r="J7" s="951" t="s">
        <v>324</v>
      </c>
      <c r="K7" s="952"/>
      <c r="L7" s="3"/>
      <c r="M7" s="3"/>
      <c r="N7" s="2" t="s">
        <v>194</v>
      </c>
      <c r="O7" s="6" t="s">
        <v>0</v>
      </c>
      <c r="P7" s="6" t="s">
        <v>1</v>
      </c>
      <c r="Q7" s="79"/>
    </row>
    <row r="8" spans="1:18" ht="15" customHeight="1" x14ac:dyDescent="0.3">
      <c r="A8" s="79"/>
      <c r="B8" s="9"/>
      <c r="C8" s="10"/>
      <c r="D8" s="10"/>
      <c r="E8" s="10"/>
      <c r="F8" s="3"/>
      <c r="G8" s="3"/>
      <c r="H8" s="3"/>
      <c r="I8" s="3"/>
      <c r="J8" s="3"/>
      <c r="K8" s="3"/>
      <c r="L8" s="3"/>
      <c r="M8" s="3"/>
      <c r="N8" s="464" t="s">
        <v>2</v>
      </c>
      <c r="O8" s="465">
        <v>313614</v>
      </c>
      <c r="P8" s="465">
        <v>-234407</v>
      </c>
      <c r="Q8" s="79"/>
    </row>
    <row r="9" spans="1:18" ht="15" customHeight="1" x14ac:dyDescent="0.3">
      <c r="A9" s="79"/>
      <c r="B9" s="12" t="s">
        <v>301</v>
      </c>
      <c r="C9" s="3"/>
      <c r="D9" s="3"/>
      <c r="E9" s="3"/>
      <c r="F9" s="3"/>
      <c r="G9" s="3"/>
      <c r="H9" s="3"/>
      <c r="I9" s="3"/>
      <c r="J9" s="24"/>
      <c r="K9" s="160"/>
      <c r="L9" s="3"/>
      <c r="M9" s="3"/>
      <c r="N9" s="3"/>
      <c r="O9" s="13"/>
      <c r="P9" s="4"/>
      <c r="Q9" s="79"/>
    </row>
    <row r="10" spans="1:18" ht="15" customHeight="1" x14ac:dyDescent="0.3">
      <c r="A10" s="79"/>
      <c r="B10" s="14" t="s">
        <v>497</v>
      </c>
      <c r="C10" s="3"/>
      <c r="D10" s="3"/>
      <c r="E10" s="3"/>
      <c r="F10" s="3"/>
      <c r="G10" s="3"/>
      <c r="H10" s="3"/>
      <c r="I10" s="3"/>
      <c r="J10" s="3"/>
      <c r="K10" s="3"/>
      <c r="L10" s="3"/>
      <c r="M10" s="3"/>
      <c r="N10" s="5" t="s">
        <v>44</v>
      </c>
      <c r="P10" s="4"/>
      <c r="Q10" s="79"/>
    </row>
    <row r="11" spans="1:18" ht="15" customHeight="1" x14ac:dyDescent="0.3">
      <c r="A11" s="79"/>
      <c r="B11" s="937" t="s">
        <v>325</v>
      </c>
      <c r="C11" s="938"/>
      <c r="D11" s="938"/>
      <c r="E11" s="938"/>
      <c r="F11" s="938"/>
      <c r="G11" s="938"/>
      <c r="H11" s="938"/>
      <c r="I11" s="938"/>
      <c r="J11" s="938"/>
      <c r="K11" s="939"/>
      <c r="L11" s="3"/>
      <c r="M11" s="3"/>
      <c r="N11" s="2" t="s">
        <v>194</v>
      </c>
      <c r="O11" s="6" t="s">
        <v>46</v>
      </c>
      <c r="P11" s="6" t="s">
        <v>5</v>
      </c>
      <c r="Q11" s="79"/>
    </row>
    <row r="12" spans="1:18" ht="15" customHeight="1" x14ac:dyDescent="0.3">
      <c r="A12" s="79"/>
      <c r="B12" s="940"/>
      <c r="C12" s="941"/>
      <c r="D12" s="941"/>
      <c r="E12" s="941"/>
      <c r="F12" s="941"/>
      <c r="G12" s="941"/>
      <c r="H12" s="941"/>
      <c r="I12" s="941"/>
      <c r="J12" s="941"/>
      <c r="K12" s="942"/>
      <c r="L12" s="3"/>
      <c r="M12" s="3"/>
      <c r="N12" s="467" t="str">
        <f>N8</f>
        <v>Dublin</v>
      </c>
      <c r="O12" s="466">
        <v>713540.11620000005</v>
      </c>
      <c r="P12" s="466">
        <v>734433.22699999996</v>
      </c>
      <c r="Q12" s="79"/>
    </row>
    <row r="13" spans="1:18" ht="15" customHeight="1" x14ac:dyDescent="0.3">
      <c r="A13" s="79"/>
      <c r="B13" s="940"/>
      <c r="C13" s="941"/>
      <c r="D13" s="941"/>
      <c r="E13" s="941"/>
      <c r="F13" s="941"/>
      <c r="G13" s="941"/>
      <c r="H13" s="941"/>
      <c r="I13" s="941"/>
      <c r="J13" s="941"/>
      <c r="K13" s="942"/>
      <c r="L13" s="3"/>
      <c r="M13" s="3"/>
      <c r="N13" s="3"/>
      <c r="P13" s="867" t="s">
        <v>43</v>
      </c>
      <c r="Q13" s="79"/>
    </row>
    <row r="14" spans="1:18" ht="15" customHeight="1" x14ac:dyDescent="0.3">
      <c r="A14" s="79"/>
      <c r="B14" s="940"/>
      <c r="C14" s="941"/>
      <c r="D14" s="941"/>
      <c r="E14" s="941"/>
      <c r="F14" s="941"/>
      <c r="G14" s="941"/>
      <c r="H14" s="941"/>
      <c r="I14" s="941"/>
      <c r="J14" s="941"/>
      <c r="K14" s="942"/>
      <c r="L14" s="3"/>
      <c r="M14" s="3"/>
      <c r="N14" s="3"/>
      <c r="O14" s="60"/>
      <c r="P14" s="25"/>
      <c r="Q14" s="79"/>
    </row>
    <row r="15" spans="1:18" ht="15" customHeight="1" x14ac:dyDescent="0.3">
      <c r="A15" s="79"/>
      <c r="B15" s="940"/>
      <c r="C15" s="941"/>
      <c r="D15" s="941"/>
      <c r="E15" s="941"/>
      <c r="F15" s="941"/>
      <c r="G15" s="941"/>
      <c r="H15" s="941"/>
      <c r="I15" s="941"/>
      <c r="J15" s="941"/>
      <c r="K15" s="942"/>
      <c r="L15" s="3"/>
      <c r="M15" s="82"/>
      <c r="N15" s="82"/>
      <c r="O15" s="82"/>
      <c r="P15" s="82"/>
      <c r="Q15" s="79"/>
      <c r="R15" s="23"/>
    </row>
    <row r="16" spans="1:18" ht="15" customHeight="1" x14ac:dyDescent="0.3">
      <c r="A16" s="79"/>
      <c r="B16" s="940"/>
      <c r="C16" s="941"/>
      <c r="D16" s="941"/>
      <c r="E16" s="941"/>
      <c r="F16" s="941"/>
      <c r="G16" s="941"/>
      <c r="H16" s="941"/>
      <c r="I16" s="941"/>
      <c r="J16" s="941"/>
      <c r="K16" s="942"/>
      <c r="L16" s="3"/>
      <c r="M16" s="82"/>
      <c r="N16" s="82"/>
      <c r="O16" s="82"/>
      <c r="P16" s="82"/>
      <c r="Q16" s="394"/>
    </row>
    <row r="17" spans="1:17" ht="15" customHeight="1" x14ac:dyDescent="0.3">
      <c r="A17" s="79"/>
      <c r="B17" s="940"/>
      <c r="C17" s="941"/>
      <c r="D17" s="941"/>
      <c r="E17" s="941"/>
      <c r="F17" s="941"/>
      <c r="G17" s="941"/>
      <c r="H17" s="941"/>
      <c r="I17" s="941"/>
      <c r="J17" s="941"/>
      <c r="K17" s="942"/>
      <c r="L17" s="3"/>
      <c r="M17" s="82"/>
      <c r="N17" s="82"/>
      <c r="O17" s="82"/>
      <c r="P17" s="82"/>
      <c r="Q17" s="394"/>
    </row>
    <row r="18" spans="1:17" ht="15" customHeight="1" x14ac:dyDescent="0.3">
      <c r="A18" s="79"/>
      <c r="B18" s="940"/>
      <c r="C18" s="941"/>
      <c r="D18" s="941"/>
      <c r="E18" s="941"/>
      <c r="F18" s="941"/>
      <c r="G18" s="941"/>
      <c r="H18" s="941"/>
      <c r="I18" s="941"/>
      <c r="J18" s="941"/>
      <c r="K18" s="942"/>
      <c r="L18" s="3"/>
      <c r="M18" s="82"/>
      <c r="N18" s="82"/>
      <c r="O18" s="83"/>
      <c r="P18" s="83"/>
      <c r="Q18" s="394"/>
    </row>
    <row r="19" spans="1:17" ht="15" customHeight="1" x14ac:dyDescent="0.3">
      <c r="A19" s="79"/>
      <c r="B19" s="940"/>
      <c r="C19" s="941"/>
      <c r="D19" s="941"/>
      <c r="E19" s="941"/>
      <c r="F19" s="941"/>
      <c r="G19" s="941"/>
      <c r="H19" s="941"/>
      <c r="I19" s="941"/>
      <c r="J19" s="941"/>
      <c r="K19" s="942"/>
      <c r="L19" s="3"/>
      <c r="M19" s="82"/>
      <c r="N19" s="82"/>
      <c r="O19" s="83"/>
      <c r="P19" s="83"/>
      <c r="Q19" s="394"/>
    </row>
    <row r="20" spans="1:17" ht="15" customHeight="1" x14ac:dyDescent="0.3">
      <c r="A20" s="79"/>
      <c r="B20" s="940"/>
      <c r="C20" s="941"/>
      <c r="D20" s="941"/>
      <c r="E20" s="941"/>
      <c r="F20" s="941"/>
      <c r="G20" s="941"/>
      <c r="H20" s="941"/>
      <c r="I20" s="941"/>
      <c r="J20" s="941"/>
      <c r="K20" s="942"/>
      <c r="L20" s="3"/>
      <c r="M20" s="82"/>
      <c r="N20" s="82"/>
      <c r="O20" s="83"/>
      <c r="P20" s="83"/>
      <c r="Q20" s="394"/>
    </row>
    <row r="21" spans="1:17" ht="15" customHeight="1" x14ac:dyDescent="0.3">
      <c r="A21" s="79"/>
      <c r="B21" s="940"/>
      <c r="C21" s="941"/>
      <c r="D21" s="941"/>
      <c r="E21" s="941"/>
      <c r="F21" s="941"/>
      <c r="G21" s="941"/>
      <c r="H21" s="941"/>
      <c r="I21" s="941"/>
      <c r="J21" s="941"/>
      <c r="K21" s="942"/>
      <c r="L21" s="3"/>
      <c r="M21" s="82"/>
      <c r="N21" s="82"/>
      <c r="O21" s="83"/>
      <c r="P21" s="83"/>
      <c r="Q21" s="394"/>
    </row>
    <row r="22" spans="1:17" ht="15" customHeight="1" x14ac:dyDescent="0.3">
      <c r="A22" s="79"/>
      <c r="B22" s="940"/>
      <c r="C22" s="941"/>
      <c r="D22" s="941"/>
      <c r="E22" s="941"/>
      <c r="F22" s="941"/>
      <c r="G22" s="941"/>
      <c r="H22" s="941"/>
      <c r="I22" s="941"/>
      <c r="J22" s="941"/>
      <c r="K22" s="942"/>
      <c r="L22" s="3"/>
      <c r="M22" s="82"/>
      <c r="N22" s="82"/>
      <c r="O22" s="83"/>
      <c r="P22" s="83"/>
      <c r="Q22" s="79"/>
    </row>
    <row r="23" spans="1:17" ht="15" customHeight="1" x14ac:dyDescent="0.3">
      <c r="A23" s="79"/>
      <c r="B23" s="943"/>
      <c r="C23" s="944"/>
      <c r="D23" s="944"/>
      <c r="E23" s="944"/>
      <c r="F23" s="944"/>
      <c r="G23" s="944"/>
      <c r="H23" s="944"/>
      <c r="I23" s="944"/>
      <c r="J23" s="944"/>
      <c r="K23" s="945"/>
      <c r="L23" s="3"/>
      <c r="M23" s="82"/>
      <c r="N23" s="82"/>
      <c r="O23" s="83"/>
      <c r="P23" s="83"/>
      <c r="Q23" s="394"/>
    </row>
    <row r="24" spans="1:17" ht="15" customHeight="1" x14ac:dyDescent="0.25">
      <c r="A24" s="79"/>
      <c r="B24" s="462"/>
      <c r="C24" s="79"/>
      <c r="D24" s="79"/>
      <c r="E24" s="79"/>
      <c r="F24" s="79"/>
      <c r="G24" s="79"/>
      <c r="H24" s="79"/>
      <c r="I24" s="79"/>
      <c r="J24" s="79"/>
      <c r="K24" s="79"/>
      <c r="L24" s="3"/>
      <c r="M24" s="82"/>
      <c r="N24" s="82"/>
      <c r="O24" s="83"/>
      <c r="P24" s="83"/>
      <c r="Q24" s="394"/>
    </row>
    <row r="25" spans="1:17" ht="15" customHeight="1" x14ac:dyDescent="0.3">
      <c r="A25" s="79"/>
      <c r="B25" s="946" t="s">
        <v>279</v>
      </c>
      <c r="C25" s="946"/>
      <c r="D25" s="79"/>
      <c r="E25" s="946" t="s">
        <v>15</v>
      </c>
      <c r="F25" s="946"/>
      <c r="G25" s="481"/>
      <c r="H25" s="495" t="s">
        <v>302</v>
      </c>
      <c r="I25" s="495"/>
      <c r="J25" s="79"/>
      <c r="K25" s="79"/>
      <c r="L25" s="3"/>
      <c r="M25" s="82"/>
      <c r="N25" s="82"/>
      <c r="O25" s="83"/>
      <c r="P25" s="83"/>
      <c r="Q25" s="394"/>
    </row>
    <row r="26" spans="1:17" ht="15" customHeight="1" x14ac:dyDescent="0.3">
      <c r="A26" s="79"/>
      <c r="B26" s="953" t="s">
        <v>210</v>
      </c>
      <c r="C26" s="954"/>
      <c r="D26" s="79"/>
      <c r="E26" s="951" t="s">
        <v>28</v>
      </c>
      <c r="F26" s="952"/>
      <c r="G26" s="3"/>
      <c r="H26" s="951" t="s">
        <v>99</v>
      </c>
      <c r="I26" s="952"/>
      <c r="J26" s="79"/>
      <c r="K26" s="79"/>
      <c r="L26" s="3"/>
      <c r="M26" s="82"/>
      <c r="N26" s="82"/>
      <c r="O26" s="83"/>
      <c r="P26" s="83"/>
      <c r="Q26" s="394"/>
    </row>
    <row r="27" spans="1:17" ht="15" customHeight="1" x14ac:dyDescent="0.3">
      <c r="A27" s="79"/>
      <c r="B27" s="12"/>
      <c r="C27" s="12"/>
      <c r="D27" s="79"/>
      <c r="E27" s="3"/>
      <c r="F27" s="3"/>
      <c r="G27" s="3"/>
      <c r="H27" s="481"/>
      <c r="I27" s="79"/>
      <c r="J27" s="79"/>
      <c r="K27" s="79"/>
      <c r="L27" s="3"/>
      <c r="M27" s="82"/>
      <c r="N27" s="82"/>
      <c r="O27" s="84"/>
      <c r="P27" s="83"/>
      <c r="Q27" s="79"/>
    </row>
    <row r="28" spans="1:17" ht="15" customHeight="1" x14ac:dyDescent="0.3">
      <c r="A28" s="79"/>
      <c r="B28" s="493" t="s">
        <v>311</v>
      </c>
      <c r="C28" s="493"/>
      <c r="D28" s="3"/>
      <c r="E28" s="956" t="s">
        <v>319</v>
      </c>
      <c r="F28" s="956"/>
      <c r="G28" s="79"/>
      <c r="H28" s="956" t="s">
        <v>359</v>
      </c>
      <c r="I28" s="956"/>
      <c r="J28" s="79"/>
      <c r="K28" s="79"/>
      <c r="L28" s="3"/>
      <c r="M28" s="82"/>
      <c r="N28" s="82"/>
      <c r="O28" s="84"/>
      <c r="P28" s="83"/>
      <c r="Q28" s="79"/>
    </row>
    <row r="29" spans="1:17" ht="15" customHeight="1" x14ac:dyDescent="0.3">
      <c r="A29" s="79"/>
      <c r="B29" s="951">
        <v>3</v>
      </c>
      <c r="C29" s="952"/>
      <c r="D29" s="3"/>
      <c r="E29" s="951">
        <v>2</v>
      </c>
      <c r="F29" s="952"/>
      <c r="G29" s="79"/>
      <c r="H29" s="951">
        <v>5</v>
      </c>
      <c r="I29" s="952"/>
      <c r="J29" s="79"/>
      <c r="K29" s="79"/>
      <c r="L29" s="3"/>
      <c r="M29" s="82"/>
      <c r="N29" s="82"/>
      <c r="O29" s="83"/>
      <c r="P29" s="83"/>
      <c r="Q29" s="79"/>
    </row>
    <row r="30" spans="1:17" ht="15" customHeight="1" x14ac:dyDescent="0.3">
      <c r="A30" s="79"/>
      <c r="C30" s="79"/>
      <c r="D30" s="79"/>
      <c r="E30" s="79"/>
      <c r="F30" s="79"/>
      <c r="G30" s="79"/>
      <c r="H30" s="79"/>
      <c r="I30" s="79"/>
      <c r="J30" s="79"/>
      <c r="K30" s="79"/>
      <c r="L30" s="3"/>
      <c r="M30" s="82"/>
      <c r="N30" s="82"/>
      <c r="O30" s="83"/>
      <c r="P30" s="83"/>
      <c r="Q30" s="79"/>
    </row>
    <row r="31" spans="1:17" ht="15" customHeight="1" x14ac:dyDescent="0.3">
      <c r="A31" s="79"/>
      <c r="B31" s="12"/>
      <c r="D31" s="79"/>
      <c r="E31" s="955"/>
      <c r="F31" s="955"/>
      <c r="G31" s="3"/>
      <c r="H31" s="79"/>
      <c r="I31" s="3"/>
      <c r="J31" s="3"/>
      <c r="K31" s="3"/>
      <c r="L31" s="3"/>
      <c r="M31" s="82"/>
      <c r="N31" s="82"/>
      <c r="O31" s="83"/>
      <c r="P31" s="83"/>
      <c r="Q31" s="79"/>
    </row>
    <row r="32" spans="1:17" ht="15" customHeight="1" x14ac:dyDescent="0.3">
      <c r="A32" s="15"/>
      <c r="B32" s="15"/>
      <c r="C32" s="15"/>
      <c r="D32" s="15"/>
      <c r="E32" s="15"/>
      <c r="F32" s="15"/>
      <c r="G32" s="15"/>
      <c r="H32" s="15"/>
      <c r="I32" s="15"/>
      <c r="J32" s="15"/>
      <c r="K32" s="15"/>
      <c r="L32" s="15"/>
      <c r="M32" s="15"/>
      <c r="N32" s="15"/>
      <c r="O32" s="483"/>
      <c r="P32" s="483"/>
      <c r="Q32" s="15"/>
    </row>
    <row r="33" spans="1:17" ht="15" customHeight="1" x14ac:dyDescent="0.3">
      <c r="A33" s="1"/>
      <c r="B33" s="1"/>
      <c r="C33" s="1"/>
      <c r="D33" s="1"/>
      <c r="E33" s="1"/>
      <c r="F33" s="1"/>
      <c r="G33" s="1"/>
      <c r="H33" s="1"/>
      <c r="I33" s="1"/>
      <c r="J33" s="1"/>
      <c r="K33" s="1"/>
      <c r="L33" s="1"/>
      <c r="M33" s="1"/>
      <c r="N33" s="1"/>
      <c r="O33" s="484"/>
      <c r="P33" s="484"/>
      <c r="Q33" s="1"/>
    </row>
    <row r="34" spans="1:17" ht="15" customHeight="1" x14ac:dyDescent="0.3">
      <c r="A34" s="79"/>
      <c r="B34" s="12" t="s">
        <v>362</v>
      </c>
      <c r="C34" s="3"/>
      <c r="D34" s="3"/>
      <c r="E34" s="3"/>
      <c r="F34" s="3"/>
      <c r="G34" s="3"/>
      <c r="H34" s="3"/>
      <c r="I34" s="3"/>
      <c r="J34" s="24"/>
      <c r="K34" s="480"/>
      <c r="L34" s="3"/>
      <c r="M34" s="3"/>
      <c r="N34" s="3"/>
      <c r="O34" s="482"/>
      <c r="P34" s="482"/>
      <c r="Q34" s="79"/>
    </row>
    <row r="35" spans="1:17" ht="15" customHeight="1" x14ac:dyDescent="0.3">
      <c r="A35" s="79"/>
      <c r="B35" s="14" t="s">
        <v>300</v>
      </c>
      <c r="C35" s="3"/>
      <c r="D35" s="3"/>
      <c r="E35" s="3"/>
      <c r="F35" s="3"/>
      <c r="G35" s="3"/>
      <c r="H35" s="3"/>
      <c r="I35" s="3"/>
      <c r="J35" s="3"/>
      <c r="K35" s="3"/>
      <c r="L35" s="3"/>
      <c r="M35" s="3"/>
      <c r="N35" s="3"/>
      <c r="O35" s="482"/>
      <c r="P35" s="482"/>
      <c r="Q35" s="79"/>
    </row>
    <row r="36" spans="1:17" ht="15" customHeight="1" x14ac:dyDescent="0.3">
      <c r="A36" s="79"/>
      <c r="B36" s="937"/>
      <c r="C36" s="938"/>
      <c r="D36" s="938"/>
      <c r="E36" s="938"/>
      <c r="F36" s="938"/>
      <c r="G36" s="938"/>
      <c r="H36" s="938"/>
      <c r="I36" s="938"/>
      <c r="J36" s="938"/>
      <c r="K36" s="938"/>
      <c r="L36" s="457"/>
      <c r="M36" s="457"/>
      <c r="N36" s="457"/>
      <c r="O36" s="458"/>
      <c r="P36" s="838"/>
      <c r="Q36" s="79"/>
    </row>
    <row r="37" spans="1:17" ht="15" customHeight="1" x14ac:dyDescent="0.3">
      <c r="A37" s="79"/>
      <c r="B37" s="940"/>
      <c r="C37" s="941"/>
      <c r="D37" s="941"/>
      <c r="E37" s="941"/>
      <c r="F37" s="941"/>
      <c r="G37" s="941"/>
      <c r="H37" s="941"/>
      <c r="I37" s="941"/>
      <c r="J37" s="941"/>
      <c r="K37" s="941"/>
      <c r="L37" s="459"/>
      <c r="M37" s="459"/>
      <c r="N37" s="459"/>
      <c r="O37" s="460"/>
      <c r="P37" s="839"/>
      <c r="Q37" s="79"/>
    </row>
    <row r="38" spans="1:17" ht="15" customHeight="1" x14ac:dyDescent="0.3">
      <c r="A38" s="79"/>
      <c r="B38" s="940"/>
      <c r="C38" s="941"/>
      <c r="D38" s="941"/>
      <c r="E38" s="941"/>
      <c r="F38" s="941"/>
      <c r="G38" s="941"/>
      <c r="H38" s="941"/>
      <c r="I38" s="941"/>
      <c r="J38" s="941"/>
      <c r="K38" s="941"/>
      <c r="L38" s="459"/>
      <c r="M38" s="459"/>
      <c r="N38" s="459"/>
      <c r="O38" s="460"/>
      <c r="P38" s="839"/>
      <c r="Q38" s="79"/>
    </row>
    <row r="39" spans="1:17" ht="15" customHeight="1" x14ac:dyDescent="0.3">
      <c r="A39" s="79"/>
      <c r="B39" s="940"/>
      <c r="C39" s="941"/>
      <c r="D39" s="941"/>
      <c r="E39" s="941"/>
      <c r="F39" s="941"/>
      <c r="G39" s="941"/>
      <c r="H39" s="941"/>
      <c r="I39" s="941"/>
      <c r="J39" s="941"/>
      <c r="K39" s="941"/>
      <c r="L39" s="459"/>
      <c r="M39" s="459"/>
      <c r="N39" s="459"/>
      <c r="O39" s="460"/>
      <c r="P39" s="839"/>
      <c r="Q39" s="79"/>
    </row>
    <row r="40" spans="1:17" ht="15" customHeight="1" x14ac:dyDescent="0.3">
      <c r="A40" s="79"/>
      <c r="B40" s="940"/>
      <c r="C40" s="941"/>
      <c r="D40" s="941"/>
      <c r="E40" s="941"/>
      <c r="F40" s="941"/>
      <c r="G40" s="941"/>
      <c r="H40" s="941"/>
      <c r="I40" s="941"/>
      <c r="J40" s="941"/>
      <c r="K40" s="941"/>
      <c r="L40" s="459"/>
      <c r="M40" s="459"/>
      <c r="N40" s="459"/>
      <c r="O40" s="460"/>
      <c r="P40" s="839"/>
      <c r="Q40" s="79"/>
    </row>
    <row r="41" spans="1:17" ht="15" customHeight="1" x14ac:dyDescent="0.3">
      <c r="A41" s="79"/>
      <c r="B41" s="940"/>
      <c r="C41" s="941"/>
      <c r="D41" s="941"/>
      <c r="E41" s="941"/>
      <c r="F41" s="941"/>
      <c r="G41" s="941"/>
      <c r="H41" s="941"/>
      <c r="I41" s="941"/>
      <c r="J41" s="941"/>
      <c r="K41" s="941"/>
      <c r="L41" s="459"/>
      <c r="M41" s="459"/>
      <c r="N41" s="459"/>
      <c r="O41" s="460"/>
      <c r="P41" s="839"/>
      <c r="Q41" s="79"/>
    </row>
    <row r="42" spans="1:17" ht="15" customHeight="1" x14ac:dyDescent="0.3">
      <c r="A42" s="79"/>
      <c r="B42" s="940"/>
      <c r="C42" s="941"/>
      <c r="D42" s="941"/>
      <c r="E42" s="941"/>
      <c r="F42" s="941"/>
      <c r="G42" s="941"/>
      <c r="H42" s="941"/>
      <c r="I42" s="941"/>
      <c r="J42" s="941"/>
      <c r="K42" s="941"/>
      <c r="L42" s="459"/>
      <c r="M42" s="459"/>
      <c r="N42" s="459"/>
      <c r="O42" s="460"/>
      <c r="P42" s="839"/>
      <c r="Q42" s="79"/>
    </row>
    <row r="43" spans="1:17" ht="15" customHeight="1" x14ac:dyDescent="0.3">
      <c r="A43" s="79"/>
      <c r="B43" s="940"/>
      <c r="C43" s="941"/>
      <c r="D43" s="941"/>
      <c r="E43" s="941"/>
      <c r="F43" s="941"/>
      <c r="G43" s="941"/>
      <c r="H43" s="941"/>
      <c r="I43" s="941"/>
      <c r="J43" s="941"/>
      <c r="K43" s="941"/>
      <c r="L43" s="459"/>
      <c r="M43" s="459"/>
      <c r="N43" s="459"/>
      <c r="O43" s="460"/>
      <c r="P43" s="839"/>
      <c r="Q43" s="79"/>
    </row>
    <row r="44" spans="1:17" ht="15" customHeight="1" x14ac:dyDescent="0.3">
      <c r="A44" s="79"/>
      <c r="B44" s="940"/>
      <c r="C44" s="941"/>
      <c r="D44" s="941"/>
      <c r="E44" s="941"/>
      <c r="F44" s="941"/>
      <c r="G44" s="941"/>
      <c r="H44" s="941"/>
      <c r="I44" s="941"/>
      <c r="J44" s="941"/>
      <c r="K44" s="941"/>
      <c r="L44" s="459"/>
      <c r="M44" s="459"/>
      <c r="N44" s="459"/>
      <c r="O44" s="460"/>
      <c r="P44" s="839"/>
      <c r="Q44" s="79"/>
    </row>
    <row r="45" spans="1:17" ht="15" customHeight="1" x14ac:dyDescent="0.3">
      <c r="A45" s="79"/>
      <c r="B45" s="940"/>
      <c r="C45" s="941"/>
      <c r="D45" s="941"/>
      <c r="E45" s="941"/>
      <c r="F45" s="941"/>
      <c r="G45" s="941"/>
      <c r="H45" s="941"/>
      <c r="I45" s="941"/>
      <c r="J45" s="941"/>
      <c r="K45" s="941"/>
      <c r="L45" s="459"/>
      <c r="M45" s="459"/>
      <c r="N45" s="459"/>
      <c r="O45" s="460"/>
      <c r="P45" s="839"/>
      <c r="Q45" s="79"/>
    </row>
    <row r="46" spans="1:17" ht="15" customHeight="1" x14ac:dyDescent="0.3">
      <c r="A46" s="79"/>
      <c r="B46" s="940"/>
      <c r="C46" s="941"/>
      <c r="D46" s="941"/>
      <c r="E46" s="941"/>
      <c r="F46" s="941"/>
      <c r="G46" s="941"/>
      <c r="H46" s="941"/>
      <c r="I46" s="941"/>
      <c r="J46" s="941"/>
      <c r="K46" s="941"/>
      <c r="L46" s="459"/>
      <c r="M46" s="459"/>
      <c r="N46" s="459"/>
      <c r="O46" s="460"/>
      <c r="P46" s="839"/>
      <c r="Q46" s="79"/>
    </row>
    <row r="47" spans="1:17" ht="15" customHeight="1" x14ac:dyDescent="0.3">
      <c r="A47" s="79"/>
      <c r="B47" s="940"/>
      <c r="C47" s="941"/>
      <c r="D47" s="941"/>
      <c r="E47" s="941"/>
      <c r="F47" s="941"/>
      <c r="G47" s="941"/>
      <c r="H47" s="941"/>
      <c r="I47" s="941"/>
      <c r="J47" s="941"/>
      <c r="K47" s="941"/>
      <c r="L47" s="459"/>
      <c r="M47" s="459"/>
      <c r="N47" s="459"/>
      <c r="O47" s="460"/>
      <c r="P47" s="839"/>
      <c r="Q47" s="79"/>
    </row>
    <row r="48" spans="1:17" ht="15" customHeight="1" x14ac:dyDescent="0.3">
      <c r="A48" s="79"/>
      <c r="B48" s="940"/>
      <c r="C48" s="941"/>
      <c r="D48" s="941"/>
      <c r="E48" s="941"/>
      <c r="F48" s="941"/>
      <c r="G48" s="941"/>
      <c r="H48" s="941"/>
      <c r="I48" s="941"/>
      <c r="J48" s="941"/>
      <c r="K48" s="941"/>
      <c r="L48" s="459"/>
      <c r="M48" s="459"/>
      <c r="N48" s="459"/>
      <c r="O48" s="460"/>
      <c r="P48" s="839"/>
      <c r="Q48" s="79"/>
    </row>
    <row r="49" spans="1:17" ht="15" customHeight="1" x14ac:dyDescent="0.3">
      <c r="A49" s="79"/>
      <c r="B49" s="940"/>
      <c r="C49" s="941"/>
      <c r="D49" s="941"/>
      <c r="E49" s="941"/>
      <c r="F49" s="941"/>
      <c r="G49" s="941"/>
      <c r="H49" s="941"/>
      <c r="I49" s="941"/>
      <c r="J49" s="941"/>
      <c r="K49" s="941"/>
      <c r="L49" s="459"/>
      <c r="M49" s="459"/>
      <c r="N49" s="459"/>
      <c r="O49" s="460"/>
      <c r="P49" s="839"/>
      <c r="Q49" s="79"/>
    </row>
    <row r="50" spans="1:17" ht="15" customHeight="1" x14ac:dyDescent="0.3">
      <c r="A50" s="79"/>
      <c r="B50" s="940"/>
      <c r="C50" s="941"/>
      <c r="D50" s="941"/>
      <c r="E50" s="941"/>
      <c r="F50" s="941"/>
      <c r="G50" s="941"/>
      <c r="H50" s="941"/>
      <c r="I50" s="941"/>
      <c r="J50" s="941"/>
      <c r="K50" s="941"/>
      <c r="L50" s="459"/>
      <c r="M50" s="459"/>
      <c r="N50" s="459"/>
      <c r="O50" s="460"/>
      <c r="P50" s="839"/>
      <c r="Q50" s="79"/>
    </row>
    <row r="51" spans="1:17" ht="15" customHeight="1" x14ac:dyDescent="0.3">
      <c r="A51" s="79"/>
      <c r="B51" s="940"/>
      <c r="C51" s="941"/>
      <c r="D51" s="941"/>
      <c r="E51" s="941"/>
      <c r="F51" s="941"/>
      <c r="G51" s="941"/>
      <c r="H51" s="941"/>
      <c r="I51" s="941"/>
      <c r="J51" s="941"/>
      <c r="K51" s="941"/>
      <c r="L51" s="459"/>
      <c r="M51" s="459"/>
      <c r="N51" s="459"/>
      <c r="O51" s="460"/>
      <c r="P51" s="839"/>
      <c r="Q51" s="79"/>
    </row>
    <row r="52" spans="1:17" ht="15" customHeight="1" x14ac:dyDescent="0.3">
      <c r="A52" s="79"/>
      <c r="B52" s="940"/>
      <c r="C52" s="941"/>
      <c r="D52" s="941"/>
      <c r="E52" s="941"/>
      <c r="F52" s="941"/>
      <c r="G52" s="941"/>
      <c r="H52" s="941"/>
      <c r="I52" s="941"/>
      <c r="J52" s="941"/>
      <c r="K52" s="941"/>
      <c r="L52" s="459"/>
      <c r="M52" s="459"/>
      <c r="N52" s="459"/>
      <c r="O52" s="460"/>
      <c r="P52" s="839"/>
      <c r="Q52" s="79"/>
    </row>
    <row r="53" spans="1:17" ht="15" customHeight="1" x14ac:dyDescent="0.3">
      <c r="A53" s="79"/>
      <c r="B53" s="940"/>
      <c r="C53" s="941"/>
      <c r="D53" s="941"/>
      <c r="E53" s="941"/>
      <c r="F53" s="941"/>
      <c r="G53" s="941"/>
      <c r="H53" s="941"/>
      <c r="I53" s="941"/>
      <c r="J53" s="941"/>
      <c r="K53" s="941"/>
      <c r="L53" s="459"/>
      <c r="M53" s="459"/>
      <c r="N53" s="459"/>
      <c r="O53" s="460"/>
      <c r="P53" s="839"/>
      <c r="Q53" s="79"/>
    </row>
    <row r="54" spans="1:17" ht="15" customHeight="1" x14ac:dyDescent="0.3">
      <c r="A54" s="79"/>
      <c r="B54" s="940"/>
      <c r="C54" s="941"/>
      <c r="D54" s="941"/>
      <c r="E54" s="941"/>
      <c r="F54" s="941"/>
      <c r="G54" s="941"/>
      <c r="H54" s="941"/>
      <c r="I54" s="941"/>
      <c r="J54" s="941"/>
      <c r="K54" s="941"/>
      <c r="L54" s="459"/>
      <c r="M54" s="459"/>
      <c r="N54" s="459"/>
      <c r="O54" s="460"/>
      <c r="P54" s="839"/>
      <c r="Q54" s="79"/>
    </row>
    <row r="55" spans="1:17" ht="15" customHeight="1" x14ac:dyDescent="0.3">
      <c r="A55" s="79"/>
      <c r="B55" s="940"/>
      <c r="C55" s="941"/>
      <c r="D55" s="941"/>
      <c r="E55" s="941"/>
      <c r="F55" s="941"/>
      <c r="G55" s="941"/>
      <c r="H55" s="941"/>
      <c r="I55" s="941"/>
      <c r="J55" s="941"/>
      <c r="K55" s="941"/>
      <c r="L55" s="459"/>
      <c r="M55" s="459"/>
      <c r="N55" s="459"/>
      <c r="O55" s="460"/>
      <c r="P55" s="839"/>
      <c r="Q55" s="79"/>
    </row>
    <row r="56" spans="1:17" ht="15" customHeight="1" x14ac:dyDescent="0.3">
      <c r="A56" s="79"/>
      <c r="B56" s="940"/>
      <c r="C56" s="941"/>
      <c r="D56" s="941"/>
      <c r="E56" s="941"/>
      <c r="F56" s="941"/>
      <c r="G56" s="941"/>
      <c r="H56" s="941"/>
      <c r="I56" s="941"/>
      <c r="J56" s="941"/>
      <c r="K56" s="941"/>
      <c r="L56" s="459"/>
      <c r="M56" s="459"/>
      <c r="N56" s="459"/>
      <c r="O56" s="460"/>
      <c r="P56" s="839"/>
      <c r="Q56" s="79"/>
    </row>
    <row r="57" spans="1:17" ht="15" customHeight="1" x14ac:dyDescent="0.3">
      <c r="A57" s="79"/>
      <c r="B57" s="940"/>
      <c r="C57" s="941"/>
      <c r="D57" s="941"/>
      <c r="E57" s="941"/>
      <c r="F57" s="941"/>
      <c r="G57" s="941"/>
      <c r="H57" s="941"/>
      <c r="I57" s="941"/>
      <c r="J57" s="941"/>
      <c r="K57" s="941"/>
      <c r="L57" s="459"/>
      <c r="M57" s="459"/>
      <c r="N57" s="459"/>
      <c r="O57" s="460"/>
      <c r="P57" s="839"/>
      <c r="Q57" s="79"/>
    </row>
    <row r="58" spans="1:17" ht="15" customHeight="1" x14ac:dyDescent="0.3">
      <c r="A58" s="79"/>
      <c r="B58" s="940"/>
      <c r="C58" s="941"/>
      <c r="D58" s="941"/>
      <c r="E58" s="941"/>
      <c r="F58" s="941"/>
      <c r="G58" s="941"/>
      <c r="H58" s="941"/>
      <c r="I58" s="941"/>
      <c r="J58" s="941"/>
      <c r="K58" s="941"/>
      <c r="L58" s="459"/>
      <c r="M58" s="459"/>
      <c r="N58" s="459"/>
      <c r="O58" s="460"/>
      <c r="P58" s="839"/>
      <c r="Q58" s="79"/>
    </row>
    <row r="59" spans="1:17" ht="15" customHeight="1" x14ac:dyDescent="0.3">
      <c r="A59" s="79"/>
      <c r="B59" s="940"/>
      <c r="C59" s="941"/>
      <c r="D59" s="941"/>
      <c r="E59" s="941"/>
      <c r="F59" s="941"/>
      <c r="G59" s="941"/>
      <c r="H59" s="941"/>
      <c r="I59" s="941"/>
      <c r="J59" s="941"/>
      <c r="K59" s="941"/>
      <c r="L59" s="459"/>
      <c r="M59" s="459"/>
      <c r="N59" s="459"/>
      <c r="O59" s="460"/>
      <c r="P59" s="839"/>
      <c r="Q59" s="79"/>
    </row>
    <row r="60" spans="1:17" ht="15" customHeight="1" x14ac:dyDescent="0.3">
      <c r="A60" s="79"/>
      <c r="B60" s="940"/>
      <c r="C60" s="941"/>
      <c r="D60" s="941"/>
      <c r="E60" s="941"/>
      <c r="F60" s="941"/>
      <c r="G60" s="941"/>
      <c r="H60" s="941"/>
      <c r="I60" s="941"/>
      <c r="J60" s="941"/>
      <c r="K60" s="941"/>
      <c r="L60" s="459"/>
      <c r="M60" s="459"/>
      <c r="N60" s="459"/>
      <c r="O60" s="460"/>
      <c r="P60" s="839"/>
      <c r="Q60" s="79"/>
    </row>
    <row r="61" spans="1:17" ht="15" customHeight="1" x14ac:dyDescent="0.3">
      <c r="A61" s="79"/>
      <c r="B61" s="940"/>
      <c r="C61" s="941"/>
      <c r="D61" s="941"/>
      <c r="E61" s="941"/>
      <c r="F61" s="941"/>
      <c r="G61" s="941"/>
      <c r="H61" s="941"/>
      <c r="I61" s="941"/>
      <c r="J61" s="941"/>
      <c r="K61" s="941"/>
      <c r="L61" s="459"/>
      <c r="M61" s="459"/>
      <c r="N61" s="459"/>
      <c r="O61" s="460"/>
      <c r="P61" s="839"/>
      <c r="Q61" s="79"/>
    </row>
    <row r="62" spans="1:17" ht="15" customHeight="1" x14ac:dyDescent="0.3">
      <c r="A62" s="79"/>
      <c r="B62" s="940"/>
      <c r="C62" s="941"/>
      <c r="D62" s="941"/>
      <c r="E62" s="941"/>
      <c r="F62" s="941"/>
      <c r="G62" s="941"/>
      <c r="H62" s="941"/>
      <c r="I62" s="941"/>
      <c r="J62" s="941"/>
      <c r="K62" s="941"/>
      <c r="L62" s="459"/>
      <c r="M62" s="459"/>
      <c r="N62" s="459"/>
      <c r="O62" s="460"/>
      <c r="P62" s="839"/>
      <c r="Q62" s="79"/>
    </row>
    <row r="63" spans="1:17" ht="15" customHeight="1" x14ac:dyDescent="0.3">
      <c r="A63" s="79"/>
      <c r="B63" s="943"/>
      <c r="C63" s="944"/>
      <c r="D63" s="944"/>
      <c r="E63" s="944"/>
      <c r="F63" s="944"/>
      <c r="G63" s="944"/>
      <c r="H63" s="944"/>
      <c r="I63" s="944"/>
      <c r="J63" s="944"/>
      <c r="K63" s="944"/>
      <c r="L63" s="11"/>
      <c r="M63" s="11"/>
      <c r="N63" s="11"/>
      <c r="O63" s="461"/>
      <c r="P63" s="840"/>
      <c r="Q63" s="79"/>
    </row>
    <row r="64" spans="1:17" ht="15" customHeight="1" x14ac:dyDescent="0.3">
      <c r="A64" s="15"/>
      <c r="B64" s="15"/>
      <c r="C64" s="15"/>
      <c r="D64" s="15"/>
      <c r="E64" s="15"/>
      <c r="F64" s="15"/>
      <c r="G64" s="15"/>
      <c r="H64" s="15"/>
      <c r="I64" s="15"/>
      <c r="J64" s="15"/>
      <c r="K64" s="15"/>
      <c r="L64" s="15"/>
      <c r="M64" s="15"/>
      <c r="N64" s="15"/>
      <c r="O64" s="483"/>
      <c r="P64" s="483"/>
      <c r="Q64" s="15"/>
    </row>
  </sheetData>
  <mergeCells count="18">
    <mergeCell ref="B46:K55"/>
    <mergeCell ref="B56:K63"/>
    <mergeCell ref="B26:C26"/>
    <mergeCell ref="E26:F26"/>
    <mergeCell ref="B29:C29"/>
    <mergeCell ref="E31:F31"/>
    <mergeCell ref="E29:F29"/>
    <mergeCell ref="H26:I26"/>
    <mergeCell ref="E28:F28"/>
    <mergeCell ref="H28:I28"/>
    <mergeCell ref="H29:I29"/>
    <mergeCell ref="B36:K45"/>
    <mergeCell ref="B11:K23"/>
    <mergeCell ref="B25:C25"/>
    <mergeCell ref="E25:F25"/>
    <mergeCell ref="J2:M3"/>
    <mergeCell ref="B7:H7"/>
    <mergeCell ref="J7:K7"/>
  </mergeCells>
  <dataValidations count="14">
    <dataValidation allowBlank="1" showInputMessage="1" showErrorMessage="1" prompt="6° 17' 40.1424''" sqref="WVL983042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P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P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P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P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P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P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P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P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P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P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P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P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P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P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P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dataValidation allowBlank="1" showInputMessage="1" showErrorMessage="1" prompt="53° 20' 52.4436''" sqref="WVJ983042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O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O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O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O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O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O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O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O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O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O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O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O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O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O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O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dataValidation allowBlank="1" showInputMessage="1" showErrorMessage="1" prompt="-6.294484" sqref="WVL983038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P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P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P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P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P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P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P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P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P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P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P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P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P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P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P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dataValidation allowBlank="1" showInputMessage="1" showErrorMessage="1" prompt="53.347901" sqref="WVJ983038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O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O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O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O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O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O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O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O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O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O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O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O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O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O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O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dataValidation type="list" showInputMessage="1" showErrorMessage="1" prompt="Select from list" sqref="N8">
      <formula1>"Border, Dublin, Midland, Mid-East, Mid-West, South-East, South-West, West"</formula1>
    </dataValidation>
    <dataValidation allowBlank="1" showInputMessage="1" showErrorMessage="1" prompt="Example: 53.347901" sqref="O8"/>
    <dataValidation allowBlank="1" showInputMessage="1" showErrorMessage="1" prompt="Example: -6.294484" sqref="P8"/>
    <dataValidation type="list" allowBlank="1" showInputMessage="1" showErrorMessage="1" sqref="B26:C26">
      <formula1>"Motorway, National Primary, National Secondary"</formula1>
    </dataValidation>
    <dataValidation type="list" allowBlank="1" showInputMessage="1" showErrorMessage="1" sqref="B29:C29">
      <formula1>"1,2,3,4,5,6"</formula1>
    </dataValidation>
    <dataValidation type="list" allowBlank="1" showInputMessage="1" showErrorMessage="1" sqref="E26:F26">
      <formula1>"Single (&lt;60kph),Dual (&lt;60kph), Single (&gt;60kph), Dual (&gt;60kph), Motorway"</formula1>
    </dataValidation>
    <dataValidation type="list" allowBlank="1" showInputMessage="1" showErrorMessage="1" sqref="H26:I26">
      <formula1>"Single, Dual"</formula1>
    </dataValidation>
    <dataValidation type="list" allowBlank="1" showInputMessage="1" showErrorMessage="1" sqref="E29:F29">
      <formula1>"1,2"</formula1>
    </dataValidation>
    <dataValidation allowBlank="1" showInputMessage="1" showErrorMessage="1" prompt="Example:    53° 20' 52.4436''" sqref="O12"/>
    <dataValidation allowBlank="1" showInputMessage="1" showErrorMessage="1" prompt="Example:    6° 17' 40.1424''" sqref="P12"/>
  </dataValidations>
  <hyperlinks>
    <hyperlink ref="P13" r:id="rId1"/>
  </hyperlinks>
  <pageMargins left="0.25" right="0.25" top="0.75" bottom="0.75" header="0.3" footer="0.3"/>
  <pageSetup paperSize="9" fitToWidth="0" fitToHeight="0" orientation="landscape" r:id="rId2"/>
  <headerFooter>
    <oddHeader>&amp;L&amp;"Arial,Regular"TII Publications
Design of Road Lighting for the National Road Network&amp;R&amp;"Arial,Regular"DN-LHT-03038
July 2018</oddHeader>
    <oddFooter>&amp;L&amp;"Arial,Regular"Lighting Evaluation Tool &amp; Justification for Lighting the Mainline
Appendix B1&amp;R&amp;"Arial,Regular"&amp;A
Page &amp;P of &amp;N</oddFooter>
  </headerFooter>
  <drawing r:id="rId3"/>
  <webPublishItems count="1">
    <webPublishItem id="30438" divId="DN-LHT-03038_-_Annex-B_-_Rev-0.3_30438" sourceType="sheet" destinationFile="C:\Users\Peter.Neary\Desktop\DN-LHT-03038_-_Annex-B_-_Rev-0.3.htm"/>
  </webPublishItems>
  <extLst>
    <ext xmlns:x15="http://schemas.microsoft.com/office/spreadsheetml/2010/11/main" uri="{F7C9EE02-42E1-4005-9D12-6889AFFD525C}">
      <x15:webExtensions xmlns:xm="http://schemas.microsoft.com/office/excel/2006/main">
        <x15:webExtension appRef="{2D058318-4A65-4027-A40E-3E8E1F773362}">
          <xm:f>Overview!$N$7:$P$8</xm:f>
        </x15:webExtension>
      </x15:webExtens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view="pageLayout" zoomScale="85" zoomScaleNormal="100" zoomScalePageLayoutView="85" workbookViewId="0">
      <selection activeCell="F10" sqref="F10"/>
    </sheetView>
  </sheetViews>
  <sheetFormatPr defaultColWidth="8.88671875" defaultRowHeight="13.2" x14ac:dyDescent="0.3"/>
  <cols>
    <col min="1" max="1" width="12" style="546" customWidth="1"/>
    <col min="2" max="2" width="13.33203125" style="546" customWidth="1"/>
    <col min="3" max="4" width="20" style="546" customWidth="1"/>
    <col min="5" max="5" width="20.44140625" style="546" customWidth="1"/>
    <col min="6" max="6" width="12.6640625" style="546" customWidth="1"/>
    <col min="7" max="7" width="10.44140625" style="546" customWidth="1"/>
    <col min="8" max="8" width="13.33203125" style="546" customWidth="1"/>
    <col min="9" max="9" width="9" style="546" customWidth="1"/>
    <col min="10" max="10" width="10.6640625" style="546" customWidth="1"/>
    <col min="11" max="11" width="8.5546875" style="546" hidden="1" customWidth="1"/>
    <col min="12" max="12" width="9.5546875" style="546" bestFit="1" customWidth="1"/>
    <col min="13" max="16384" width="8.88671875" style="546"/>
  </cols>
  <sheetData>
    <row r="1" spans="1:12" x14ac:dyDescent="0.3">
      <c r="A1" s="670"/>
      <c r="B1" s="670"/>
      <c r="C1" s="670"/>
      <c r="D1" s="670"/>
      <c r="E1" s="670"/>
      <c r="F1" s="670"/>
      <c r="G1" s="670"/>
      <c r="H1" s="670"/>
      <c r="I1" s="670"/>
      <c r="J1" s="670"/>
    </row>
    <row r="2" spans="1:12" ht="15.6" x14ac:dyDescent="0.3">
      <c r="A2" s="589" t="s">
        <v>468</v>
      </c>
      <c r="B2" s="592"/>
      <c r="C2" s="592"/>
      <c r="D2" s="592"/>
      <c r="E2" s="592"/>
      <c r="F2" s="592"/>
      <c r="G2" s="592"/>
      <c r="H2" s="592"/>
      <c r="I2" s="592"/>
      <c r="J2" s="592"/>
    </row>
    <row r="3" spans="1:12" ht="15.6" x14ac:dyDescent="0.3">
      <c r="A3" s="671" t="s">
        <v>374</v>
      </c>
      <c r="B3" s="592"/>
      <c r="C3" s="592"/>
      <c r="D3" s="592"/>
      <c r="E3" s="592"/>
      <c r="F3" s="592"/>
      <c r="G3" s="592"/>
      <c r="H3" s="592"/>
      <c r="I3" s="592"/>
      <c r="J3" s="592"/>
    </row>
    <row r="4" spans="1:12" ht="15" x14ac:dyDescent="0.3">
      <c r="A4" s="594" t="str">
        <f>Overview!$B$7</f>
        <v>Grove Park Drive</v>
      </c>
      <c r="B4" s="592"/>
      <c r="C4" s="592"/>
      <c r="D4" s="592"/>
      <c r="E4" s="592"/>
      <c r="F4" s="592"/>
      <c r="G4" s="592"/>
      <c r="H4" s="592"/>
      <c r="I4" s="592"/>
      <c r="J4" s="592"/>
    </row>
    <row r="5" spans="1:12" x14ac:dyDescent="0.3">
      <c r="A5" s="592"/>
      <c r="B5" s="592"/>
      <c r="C5" s="592"/>
      <c r="D5" s="592"/>
      <c r="E5" s="592"/>
      <c r="F5" s="592"/>
      <c r="G5" s="592"/>
      <c r="H5" s="592"/>
      <c r="I5" s="592"/>
      <c r="J5" s="592"/>
    </row>
    <row r="6" spans="1:12" x14ac:dyDescent="0.3">
      <c r="A6" s="961" t="s">
        <v>107</v>
      </c>
      <c r="B6" s="961"/>
      <c r="C6" s="961" t="s">
        <v>408</v>
      </c>
      <c r="D6" s="961"/>
      <c r="E6" s="961" t="s">
        <v>409</v>
      </c>
      <c r="F6" s="961"/>
      <c r="G6" s="964" t="s">
        <v>403</v>
      </c>
      <c r="H6" s="964"/>
      <c r="I6" s="965">
        <f>SUM('Summary of Results'!K7:K11)</f>
        <v>-7412559.114521822</v>
      </c>
      <c r="J6" s="965"/>
    </row>
    <row r="7" spans="1:12" x14ac:dyDescent="0.3">
      <c r="A7" s="963" t="str">
        <f>Overview!B7</f>
        <v>Grove Park Drive</v>
      </c>
      <c r="B7" s="963"/>
      <c r="C7" s="962"/>
      <c r="D7" s="962"/>
      <c r="E7" s="962"/>
      <c r="F7" s="962"/>
      <c r="G7" s="964" t="s">
        <v>159</v>
      </c>
      <c r="H7" s="964"/>
      <c r="I7" s="966">
        <f>'Summary of Results'!L7</f>
        <v>0.12590685417127442</v>
      </c>
      <c r="J7" s="967"/>
    </row>
    <row r="8" spans="1:12" x14ac:dyDescent="0.3">
      <c r="A8" s="963"/>
      <c r="B8" s="963"/>
      <c r="C8" s="962"/>
      <c r="D8" s="962"/>
      <c r="E8" s="962"/>
      <c r="F8" s="962"/>
      <c r="G8" s="964" t="s">
        <v>404</v>
      </c>
      <c r="H8" s="964"/>
      <c r="I8" s="965">
        <f>'Summary of Results'!M7</f>
        <v>1.1166257863507684E-2</v>
      </c>
      <c r="J8" s="965"/>
    </row>
    <row r="9" spans="1:12" x14ac:dyDescent="0.3">
      <c r="A9" s="963"/>
      <c r="B9" s="963"/>
      <c r="C9" s="962"/>
      <c r="D9" s="962"/>
      <c r="E9" s="962"/>
      <c r="F9" s="962"/>
      <c r="G9" s="964" t="s">
        <v>405</v>
      </c>
      <c r="H9" s="964"/>
      <c r="I9" s="965">
        <f>SUM(Results!P8:P12)</f>
        <v>5664806.0717511419</v>
      </c>
      <c r="J9" s="965"/>
    </row>
    <row r="10" spans="1:12" ht="14.4" customHeight="1" x14ac:dyDescent="0.3">
      <c r="A10" s="980" t="s">
        <v>15</v>
      </c>
      <c r="B10" s="981"/>
      <c r="C10" s="566" t="s">
        <v>412</v>
      </c>
      <c r="D10" s="566" t="s">
        <v>414</v>
      </c>
      <c r="E10" s="566" t="s">
        <v>413</v>
      </c>
      <c r="F10" s="566" t="s">
        <v>240</v>
      </c>
      <c r="G10" s="964" t="s">
        <v>406</v>
      </c>
      <c r="H10" s="964"/>
      <c r="I10" s="965">
        <f>SUM(Results!Q8:Q12)</f>
        <v>2815479.0670757866</v>
      </c>
      <c r="J10" s="965"/>
    </row>
    <row r="11" spans="1:12" x14ac:dyDescent="0.3">
      <c r="A11" s="967" t="str">
        <f>Overview!E26</f>
        <v>Motorway</v>
      </c>
      <c r="B11" s="967"/>
      <c r="C11" s="810"/>
      <c r="D11" s="811">
        <f>'Scheme Entry - Baseline'!W46</f>
        <v>45</v>
      </c>
      <c r="E11" s="812">
        <f>'Scheme Entry - Baseline'!W49*1000</f>
        <v>75000</v>
      </c>
      <c r="F11" s="714"/>
      <c r="G11" s="964" t="s">
        <v>407</v>
      </c>
      <c r="H11" s="964"/>
      <c r="I11" s="965">
        <f>I9+I10</f>
        <v>8480285.138826929</v>
      </c>
      <c r="J11" s="965"/>
    </row>
    <row r="12" spans="1:12" ht="60" customHeight="1" x14ac:dyDescent="0.3">
      <c r="A12" s="674" t="s">
        <v>364</v>
      </c>
      <c r="B12" s="674" t="s">
        <v>365</v>
      </c>
      <c r="C12" s="959" t="s">
        <v>399</v>
      </c>
      <c r="D12" s="960"/>
      <c r="E12" s="959" t="s">
        <v>400</v>
      </c>
      <c r="F12" s="971"/>
      <c r="G12" s="960"/>
      <c r="H12" s="695" t="s">
        <v>401</v>
      </c>
      <c r="I12" s="695" t="s">
        <v>402</v>
      </c>
      <c r="J12" s="695" t="s">
        <v>366</v>
      </c>
      <c r="K12" s="700"/>
    </row>
    <row r="13" spans="1:12" ht="60" customHeight="1" x14ac:dyDescent="0.3">
      <c r="A13" s="972" t="s">
        <v>390</v>
      </c>
      <c r="B13" s="673" t="s">
        <v>391</v>
      </c>
      <c r="C13" s="957"/>
      <c r="D13" s="958"/>
      <c r="E13" s="968"/>
      <c r="F13" s="969"/>
      <c r="G13" s="970"/>
      <c r="H13" s="696" t="str">
        <f t="shared" ref="H13:H24" si="0">VLOOKUP(I13,$A$27:$C$33,2,FALSE)</f>
        <v>Not significant or Neutral</v>
      </c>
      <c r="I13" s="846">
        <v>4</v>
      </c>
      <c r="J13" s="1005" t="str">
        <f>VLOOKUP(K13,A27:B33,2,FALSE)</f>
        <v>Not significant or Neutral</v>
      </c>
      <c r="K13" s="1004">
        <f>ROUND(AVERAGE(I13:I15),0)</f>
        <v>4</v>
      </c>
      <c r="L13" s="699"/>
    </row>
    <row r="14" spans="1:12" ht="60" customHeight="1" x14ac:dyDescent="0.3">
      <c r="A14" s="972"/>
      <c r="B14" s="673" t="s">
        <v>371</v>
      </c>
      <c r="C14" s="957"/>
      <c r="D14" s="958"/>
      <c r="E14" s="968"/>
      <c r="F14" s="969"/>
      <c r="G14" s="970"/>
      <c r="H14" s="696" t="str">
        <f t="shared" si="0"/>
        <v>Not significant or Neutral</v>
      </c>
      <c r="I14" s="846">
        <v>4</v>
      </c>
      <c r="J14" s="1005"/>
      <c r="K14" s="1004"/>
      <c r="L14" s="699"/>
    </row>
    <row r="15" spans="1:12" ht="60" customHeight="1" x14ac:dyDescent="0.3">
      <c r="A15" s="972"/>
      <c r="B15" s="673" t="s">
        <v>392</v>
      </c>
      <c r="C15" s="957"/>
      <c r="D15" s="958"/>
      <c r="E15" s="968"/>
      <c r="F15" s="969"/>
      <c r="G15" s="970"/>
      <c r="H15" s="696" t="str">
        <f t="shared" si="0"/>
        <v>Not significant or Neutral</v>
      </c>
      <c r="I15" s="846">
        <v>4</v>
      </c>
      <c r="J15" s="1005"/>
      <c r="K15" s="1004"/>
    </row>
    <row r="16" spans="1:12" ht="60" customHeight="1" x14ac:dyDescent="0.3">
      <c r="A16" s="972" t="s">
        <v>367</v>
      </c>
      <c r="B16" s="979" t="s">
        <v>393</v>
      </c>
      <c r="C16" s="984"/>
      <c r="D16" s="985"/>
      <c r="E16" s="982"/>
      <c r="F16" s="697" t="s">
        <v>410</v>
      </c>
      <c r="G16" s="694"/>
      <c r="H16" s="696" t="str">
        <f t="shared" si="0"/>
        <v>Not significant or Neutral</v>
      </c>
      <c r="I16" s="846">
        <v>4</v>
      </c>
      <c r="J16" s="1005" t="str">
        <f>VLOOKUP(K16,A27:B33,2,FALSE)</f>
        <v>Not significant or Neutral</v>
      </c>
      <c r="K16" s="1004">
        <f>ROUND(AVERAGE(I16:I18),0)</f>
        <v>4</v>
      </c>
    </row>
    <row r="17" spans="1:11" ht="60" customHeight="1" x14ac:dyDescent="0.3">
      <c r="A17" s="972"/>
      <c r="B17" s="979"/>
      <c r="C17" s="986"/>
      <c r="D17" s="987"/>
      <c r="E17" s="983"/>
      <c r="F17" s="697" t="s">
        <v>411</v>
      </c>
      <c r="G17" s="694"/>
      <c r="H17" s="696" t="str">
        <f t="shared" si="0"/>
        <v>Not significant or Neutral</v>
      </c>
      <c r="I17" s="846">
        <v>4</v>
      </c>
      <c r="J17" s="1005"/>
      <c r="K17" s="1004"/>
    </row>
    <row r="18" spans="1:11" ht="60" customHeight="1" x14ac:dyDescent="0.3">
      <c r="A18" s="972"/>
      <c r="B18" s="673" t="s">
        <v>372</v>
      </c>
      <c r="C18" s="957"/>
      <c r="D18" s="958"/>
      <c r="E18" s="968"/>
      <c r="F18" s="969"/>
      <c r="G18" s="970"/>
      <c r="H18" s="696" t="str">
        <f t="shared" si="0"/>
        <v>Not significant or Neutral</v>
      </c>
      <c r="I18" s="846">
        <v>4</v>
      </c>
      <c r="J18" s="1005"/>
      <c r="K18" s="1004"/>
    </row>
    <row r="19" spans="1:11" ht="60" customHeight="1" x14ac:dyDescent="0.3">
      <c r="A19" s="672" t="s">
        <v>368</v>
      </c>
      <c r="B19" s="673" t="s">
        <v>394</v>
      </c>
      <c r="C19" s="957"/>
      <c r="D19" s="958"/>
      <c r="E19" s="968"/>
      <c r="F19" s="969"/>
      <c r="G19" s="970"/>
      <c r="H19" s="696" t="str">
        <f t="shared" si="0"/>
        <v>Not significant or Neutral</v>
      </c>
      <c r="I19" s="846">
        <v>4</v>
      </c>
      <c r="J19" s="696" t="str">
        <f>VLOOKUP(K19,A27:B33,2,FALSE)</f>
        <v>Not significant or Neutral</v>
      </c>
      <c r="K19" s="700">
        <f>I19</f>
        <v>4</v>
      </c>
    </row>
    <row r="20" spans="1:11" ht="60" customHeight="1" x14ac:dyDescent="0.3">
      <c r="A20" s="972" t="s">
        <v>395</v>
      </c>
      <c r="B20" s="673" t="s">
        <v>396</v>
      </c>
      <c r="C20" s="957"/>
      <c r="D20" s="958"/>
      <c r="E20" s="968"/>
      <c r="F20" s="969"/>
      <c r="G20" s="970"/>
      <c r="H20" s="696" t="str">
        <f t="shared" si="0"/>
        <v>Not significant or Neutral</v>
      </c>
      <c r="I20" s="846">
        <v>4</v>
      </c>
      <c r="J20" s="1006" t="str">
        <f>VLOOKUP(K20,A27:B33,2,FALSE)</f>
        <v>Not significant or Neutral</v>
      </c>
      <c r="K20" s="1004">
        <f>ROUND(AVERAGE(I20:I22),0)</f>
        <v>4</v>
      </c>
    </row>
    <row r="21" spans="1:11" ht="60" customHeight="1" x14ac:dyDescent="0.3">
      <c r="A21" s="972"/>
      <c r="B21" s="673" t="s">
        <v>397</v>
      </c>
      <c r="C21" s="957"/>
      <c r="D21" s="958"/>
      <c r="E21" s="968"/>
      <c r="F21" s="969"/>
      <c r="G21" s="970"/>
      <c r="H21" s="696" t="str">
        <f t="shared" si="0"/>
        <v>Not significant or Neutral</v>
      </c>
      <c r="I21" s="846">
        <v>4</v>
      </c>
      <c r="J21" s="1006"/>
      <c r="K21" s="1004"/>
    </row>
    <row r="22" spans="1:11" ht="60" customHeight="1" x14ac:dyDescent="0.3">
      <c r="A22" s="972"/>
      <c r="B22" s="673" t="s">
        <v>398</v>
      </c>
      <c r="C22" s="957"/>
      <c r="D22" s="958"/>
      <c r="E22" s="968"/>
      <c r="F22" s="969"/>
      <c r="G22" s="970"/>
      <c r="H22" s="696" t="str">
        <f t="shared" si="0"/>
        <v>Not significant or Neutral</v>
      </c>
      <c r="I22" s="846">
        <v>4</v>
      </c>
      <c r="J22" s="1006"/>
      <c r="K22" s="1004"/>
    </row>
    <row r="23" spans="1:11" ht="60" customHeight="1" x14ac:dyDescent="0.3">
      <c r="A23" s="672" t="s">
        <v>369</v>
      </c>
      <c r="B23" s="673" t="s">
        <v>373</v>
      </c>
      <c r="C23" s="957"/>
      <c r="D23" s="958"/>
      <c r="E23" s="968"/>
      <c r="F23" s="969"/>
      <c r="G23" s="970"/>
      <c r="H23" s="696" t="str">
        <f t="shared" si="0"/>
        <v>Not significant or Neutral</v>
      </c>
      <c r="I23" s="846">
        <v>4</v>
      </c>
      <c r="J23" s="696" t="str">
        <f>VLOOKUP(K23,A27:B33,2,FALSE)</f>
        <v>Not significant or Neutral</v>
      </c>
      <c r="K23" s="700">
        <f>I23</f>
        <v>4</v>
      </c>
    </row>
    <row r="24" spans="1:11" ht="60" customHeight="1" x14ac:dyDescent="0.3">
      <c r="A24" s="672" t="s">
        <v>370</v>
      </c>
      <c r="B24" s="673" t="s">
        <v>370</v>
      </c>
      <c r="C24" s="957"/>
      <c r="D24" s="958"/>
      <c r="E24" s="968"/>
      <c r="F24" s="969"/>
      <c r="G24" s="970"/>
      <c r="H24" s="696" t="str">
        <f t="shared" si="0"/>
        <v>Not significant or Neutral</v>
      </c>
      <c r="I24" s="846">
        <v>4</v>
      </c>
      <c r="J24" s="845" t="str">
        <f>VLOOKUP(K24,A27:B33,2,FALSE)</f>
        <v>Not significant or Neutral</v>
      </c>
      <c r="K24" s="700">
        <f>I24</f>
        <v>4</v>
      </c>
    </row>
    <row r="25" spans="1:11" ht="13.8" x14ac:dyDescent="0.3">
      <c r="A25" s="995" t="s">
        <v>437</v>
      </c>
      <c r="B25" s="996"/>
      <c r="C25" s="996"/>
      <c r="D25" s="996"/>
      <c r="E25" s="996"/>
      <c r="F25" s="996"/>
      <c r="G25" s="997"/>
      <c r="H25" s="998" t="str">
        <f>VLOOKUP(((K13+K17+K19+K21+K23+K24)/4),$A$27:$B$33,2,FALSE)</f>
        <v>Not significant or Neutral</v>
      </c>
      <c r="I25" s="999"/>
      <c r="J25" s="1000"/>
    </row>
    <row r="26" spans="1:11" ht="13.8" x14ac:dyDescent="0.25">
      <c r="A26" s="977" t="s">
        <v>436</v>
      </c>
      <c r="B26" s="978"/>
      <c r="C26" s="978"/>
      <c r="D26" s="1002" t="s">
        <v>421</v>
      </c>
      <c r="E26" s="1003"/>
      <c r="F26" s="978" t="s">
        <v>415</v>
      </c>
      <c r="G26" s="978"/>
      <c r="H26" s="978"/>
      <c r="I26" s="978"/>
      <c r="J26" s="1001"/>
    </row>
    <row r="27" spans="1:11" ht="13.8" x14ac:dyDescent="0.25">
      <c r="A27" s="701">
        <v>7</v>
      </c>
      <c r="B27" s="698" t="s">
        <v>429</v>
      </c>
      <c r="C27" s="698"/>
      <c r="D27" s="973" t="s">
        <v>422</v>
      </c>
      <c r="E27" s="974"/>
      <c r="F27" s="988" t="s">
        <v>416</v>
      </c>
      <c r="G27" s="988"/>
      <c r="H27" s="988"/>
      <c r="I27" s="988"/>
      <c r="J27" s="974"/>
    </row>
    <row r="28" spans="1:11" ht="13.8" x14ac:dyDescent="0.25">
      <c r="A28" s="702">
        <v>6</v>
      </c>
      <c r="B28" s="698" t="s">
        <v>430</v>
      </c>
      <c r="C28" s="698"/>
      <c r="D28" s="973" t="s">
        <v>423</v>
      </c>
      <c r="E28" s="974"/>
      <c r="F28" s="988" t="s">
        <v>417</v>
      </c>
      <c r="G28" s="988"/>
      <c r="H28" s="988"/>
      <c r="I28" s="988"/>
      <c r="J28" s="974"/>
    </row>
    <row r="29" spans="1:11" ht="13.8" x14ac:dyDescent="0.25">
      <c r="A29" s="703">
        <v>5</v>
      </c>
      <c r="B29" s="698" t="s">
        <v>431</v>
      </c>
      <c r="C29" s="698"/>
      <c r="D29" s="973" t="s">
        <v>424</v>
      </c>
      <c r="E29" s="974"/>
      <c r="F29" s="988" t="s">
        <v>418</v>
      </c>
      <c r="G29" s="988"/>
      <c r="H29" s="988"/>
      <c r="I29" s="988"/>
      <c r="J29" s="974"/>
    </row>
    <row r="30" spans="1:11" ht="13.8" x14ac:dyDescent="0.25">
      <c r="A30" s="704">
        <v>4</v>
      </c>
      <c r="B30" s="698" t="s">
        <v>432</v>
      </c>
      <c r="C30" s="698"/>
      <c r="D30" s="973" t="s">
        <v>425</v>
      </c>
      <c r="E30" s="974"/>
      <c r="F30" s="988" t="s">
        <v>419</v>
      </c>
      <c r="G30" s="988"/>
      <c r="H30" s="988"/>
      <c r="I30" s="988"/>
      <c r="J30" s="974"/>
    </row>
    <row r="31" spans="1:11" ht="13.8" x14ac:dyDescent="0.25">
      <c r="A31" s="705">
        <v>3</v>
      </c>
      <c r="B31" s="698" t="s">
        <v>433</v>
      </c>
      <c r="C31" s="698"/>
      <c r="D31" s="973" t="s">
        <v>426</v>
      </c>
      <c r="E31" s="974"/>
      <c r="F31" s="988" t="s">
        <v>420</v>
      </c>
      <c r="G31" s="988"/>
      <c r="H31" s="988"/>
      <c r="I31" s="988"/>
      <c r="J31" s="974"/>
    </row>
    <row r="32" spans="1:11" ht="13.8" x14ac:dyDescent="0.25">
      <c r="A32" s="706">
        <v>2</v>
      </c>
      <c r="B32" s="698" t="s">
        <v>434</v>
      </c>
      <c r="C32" s="698"/>
      <c r="D32" s="973" t="s">
        <v>427</v>
      </c>
      <c r="E32" s="974"/>
      <c r="F32" s="989"/>
      <c r="G32" s="990"/>
      <c r="H32" s="990"/>
      <c r="I32" s="990"/>
      <c r="J32" s="991"/>
    </row>
    <row r="33" spans="1:10" ht="13.8" x14ac:dyDescent="0.25">
      <c r="A33" s="707">
        <v>1</v>
      </c>
      <c r="B33" s="420" t="s">
        <v>435</v>
      </c>
      <c r="C33" s="420"/>
      <c r="D33" s="975" t="s">
        <v>428</v>
      </c>
      <c r="E33" s="976"/>
      <c r="F33" s="992"/>
      <c r="G33" s="993"/>
      <c r="H33" s="993"/>
      <c r="I33" s="993"/>
      <c r="J33" s="994"/>
    </row>
    <row r="34" spans="1:10" ht="13.8" customHeight="1" x14ac:dyDescent="0.3">
      <c r="A34" s="883"/>
      <c r="B34" s="883"/>
      <c r="C34" s="884"/>
      <c r="D34" s="883"/>
      <c r="E34" s="883"/>
      <c r="F34" s="883"/>
      <c r="G34" s="883"/>
      <c r="H34" s="883"/>
      <c r="I34" s="883"/>
      <c r="J34" s="883"/>
    </row>
  </sheetData>
  <mergeCells count="73">
    <mergeCell ref="K20:K22"/>
    <mergeCell ref="K16:K18"/>
    <mergeCell ref="K13:K15"/>
    <mergeCell ref="J13:J15"/>
    <mergeCell ref="J16:J18"/>
    <mergeCell ref="J20:J22"/>
    <mergeCell ref="F31:J31"/>
    <mergeCell ref="F32:J32"/>
    <mergeCell ref="F33:J33"/>
    <mergeCell ref="A25:G25"/>
    <mergeCell ref="H25:J25"/>
    <mergeCell ref="F26:J26"/>
    <mergeCell ref="F27:J27"/>
    <mergeCell ref="F28:J28"/>
    <mergeCell ref="F29:J29"/>
    <mergeCell ref="F30:J30"/>
    <mergeCell ref="D26:E26"/>
    <mergeCell ref="D27:E27"/>
    <mergeCell ref="D28:E28"/>
    <mergeCell ref="D29:E29"/>
    <mergeCell ref="D30:E30"/>
    <mergeCell ref="D31:E31"/>
    <mergeCell ref="D32:E32"/>
    <mergeCell ref="D33:E33"/>
    <mergeCell ref="A26:C26"/>
    <mergeCell ref="A16:A18"/>
    <mergeCell ref="C6:D6"/>
    <mergeCell ref="B16:B17"/>
    <mergeCell ref="A10:B10"/>
    <mergeCell ref="A11:B11"/>
    <mergeCell ref="A20:A22"/>
    <mergeCell ref="E16:E17"/>
    <mergeCell ref="E13:G13"/>
    <mergeCell ref="E14:G14"/>
    <mergeCell ref="E15:G15"/>
    <mergeCell ref="E21:G21"/>
    <mergeCell ref="E22:G22"/>
    <mergeCell ref="C16:D17"/>
    <mergeCell ref="A13:A15"/>
    <mergeCell ref="E23:G23"/>
    <mergeCell ref="C21:D21"/>
    <mergeCell ref="C22:D22"/>
    <mergeCell ref="C23:D23"/>
    <mergeCell ref="E24:G24"/>
    <mergeCell ref="E12:G12"/>
    <mergeCell ref="E18:G18"/>
    <mergeCell ref="E19:G19"/>
    <mergeCell ref="E20:G20"/>
    <mergeCell ref="I11:J11"/>
    <mergeCell ref="G6:H6"/>
    <mergeCell ref="G7:H7"/>
    <mergeCell ref="G8:H8"/>
    <mergeCell ref="G9:H9"/>
    <mergeCell ref="G10:H10"/>
    <mergeCell ref="I6:J6"/>
    <mergeCell ref="I7:J7"/>
    <mergeCell ref="I8:J8"/>
    <mergeCell ref="I9:J9"/>
    <mergeCell ref="I10:J10"/>
    <mergeCell ref="E6:F6"/>
    <mergeCell ref="C7:D9"/>
    <mergeCell ref="E7:F9"/>
    <mergeCell ref="A7:B9"/>
    <mergeCell ref="G11:H11"/>
    <mergeCell ref="A6:B6"/>
    <mergeCell ref="C24:D24"/>
    <mergeCell ref="C12:D12"/>
    <mergeCell ref="C13:D13"/>
    <mergeCell ref="C14:D14"/>
    <mergeCell ref="C15:D15"/>
    <mergeCell ref="C18:D18"/>
    <mergeCell ref="C19:D19"/>
    <mergeCell ref="C20:D20"/>
  </mergeCells>
  <conditionalFormatting sqref="I13:I24">
    <cfRule type="cellIs" dxfId="8" priority="2" operator="equal">
      <formula>1</formula>
    </cfRule>
    <cfRule type="cellIs" dxfId="7" priority="3" operator="equal">
      <formula>2</formula>
    </cfRule>
    <cfRule type="cellIs" dxfId="6" priority="4" operator="equal">
      <formula>3</formula>
    </cfRule>
    <cfRule type="cellIs" dxfId="5" priority="5" operator="equal">
      <formula>4</formula>
    </cfRule>
    <cfRule type="cellIs" dxfId="4" priority="6" operator="equal">
      <formula>5</formula>
    </cfRule>
    <cfRule type="cellIs" dxfId="3" priority="7" operator="equal">
      <formula>6</formula>
    </cfRule>
    <cfRule type="cellIs" dxfId="2" priority="8" operator="equal">
      <formula>7</formula>
    </cfRule>
  </conditionalFormatting>
  <pageMargins left="0.25" right="0.25" top="0.75" bottom="0.75" header="0.3" footer="0.3"/>
  <pageSetup paperSize="8" orientation="portrait" r:id="rId1"/>
  <headerFooter>
    <oddHeader>&amp;L&amp;"Arial,Regular"TII Publications
Design of Road Lighting for the National Road Network&amp;R&amp;"Arial,Regular"DN-LHT-03038
July 2018</oddHeader>
    <oddFooter>&amp;L&amp;"Arial,Regular"Lighting Evaluation Tool &amp; Justification for Lighting the Mainline
Appendix B1&amp;R&amp;"Arial,Regular"&amp;A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view="pageLayout" zoomScale="80" zoomScaleNormal="100" zoomScalePageLayoutView="80" workbookViewId="0">
      <selection activeCell="A7" sqref="A7"/>
    </sheetView>
  </sheetViews>
  <sheetFormatPr defaultRowHeight="15" customHeight="1" x14ac:dyDescent="0.3"/>
  <cols>
    <col min="1" max="1" width="2.6640625" style="2" customWidth="1"/>
    <col min="2" max="2" width="7.109375" style="2" customWidth="1"/>
    <col min="3" max="3" width="26.33203125" style="2" bestFit="1" customWidth="1"/>
    <col min="4" max="4" width="7.44140625" style="20" customWidth="1"/>
    <col min="5" max="6" width="12" style="2" customWidth="1"/>
    <col min="7" max="8" width="5.109375" style="2" bestFit="1" customWidth="1"/>
    <col min="9" max="9" width="8.109375" style="2" bestFit="1" customWidth="1"/>
    <col min="10" max="10" width="5.88671875" style="2" bestFit="1" customWidth="1"/>
    <col min="11" max="11" width="12.109375" style="2" bestFit="1" customWidth="1"/>
    <col min="12" max="12" width="6" style="2" bestFit="1" customWidth="1"/>
    <col min="13" max="13" width="8.5546875" style="2" bestFit="1" customWidth="1"/>
    <col min="14" max="14" width="12.6640625" style="2" customWidth="1"/>
    <col min="15" max="15" width="7.109375" style="2" customWidth="1"/>
    <col min="16" max="16" width="2.6640625" style="2" customWidth="1"/>
    <col min="17" max="259" width="7.6640625" style="2" customWidth="1"/>
    <col min="260" max="260" width="14.33203125" style="2" customWidth="1"/>
    <col min="261" max="261" width="4" style="2" customWidth="1"/>
    <col min="262" max="262" width="14.33203125" style="2" customWidth="1"/>
    <col min="263" max="263" width="4" style="2" customWidth="1"/>
    <col min="264" max="515" width="7.6640625" style="2" customWidth="1"/>
    <col min="516" max="516" width="14.33203125" style="2" customWidth="1"/>
    <col min="517" max="517" width="4" style="2" customWidth="1"/>
    <col min="518" max="518" width="14.33203125" style="2" customWidth="1"/>
    <col min="519" max="519" width="4" style="2" customWidth="1"/>
    <col min="520" max="771" width="7.6640625" style="2" customWidth="1"/>
    <col min="772" max="772" width="14.33203125" style="2" customWidth="1"/>
    <col min="773" max="773" width="4" style="2" customWidth="1"/>
    <col min="774" max="774" width="14.33203125" style="2" customWidth="1"/>
    <col min="775" max="775" width="4" style="2" customWidth="1"/>
    <col min="776" max="1027" width="7.6640625" style="2" customWidth="1"/>
    <col min="1028" max="1028" width="14.33203125" style="2" customWidth="1"/>
    <col min="1029" max="1029" width="4" style="2" customWidth="1"/>
    <col min="1030" max="1030" width="14.33203125" style="2" customWidth="1"/>
    <col min="1031" max="1031" width="4" style="2" customWidth="1"/>
    <col min="1032" max="1283" width="7.6640625" style="2" customWidth="1"/>
    <col min="1284" max="1284" width="14.33203125" style="2" customWidth="1"/>
    <col min="1285" max="1285" width="4" style="2" customWidth="1"/>
    <col min="1286" max="1286" width="14.33203125" style="2" customWidth="1"/>
    <col min="1287" max="1287" width="4" style="2" customWidth="1"/>
    <col min="1288" max="1539" width="7.6640625" style="2" customWidth="1"/>
    <col min="1540" max="1540" width="14.33203125" style="2" customWidth="1"/>
    <col min="1541" max="1541" width="4" style="2" customWidth="1"/>
    <col min="1542" max="1542" width="14.33203125" style="2" customWidth="1"/>
    <col min="1543" max="1543" width="4" style="2" customWidth="1"/>
    <col min="1544" max="1795" width="7.6640625" style="2" customWidth="1"/>
    <col min="1796" max="1796" width="14.33203125" style="2" customWidth="1"/>
    <col min="1797" max="1797" width="4" style="2" customWidth="1"/>
    <col min="1798" max="1798" width="14.33203125" style="2" customWidth="1"/>
    <col min="1799" max="1799" width="4" style="2" customWidth="1"/>
    <col min="1800" max="2051" width="7.6640625" style="2" customWidth="1"/>
    <col min="2052" max="2052" width="14.33203125" style="2" customWidth="1"/>
    <col min="2053" max="2053" width="4" style="2" customWidth="1"/>
    <col min="2054" max="2054" width="14.33203125" style="2" customWidth="1"/>
    <col min="2055" max="2055" width="4" style="2" customWidth="1"/>
    <col min="2056" max="2307" width="7.6640625" style="2" customWidth="1"/>
    <col min="2308" max="2308" width="14.33203125" style="2" customWidth="1"/>
    <col min="2309" max="2309" width="4" style="2" customWidth="1"/>
    <col min="2310" max="2310" width="14.33203125" style="2" customWidth="1"/>
    <col min="2311" max="2311" width="4" style="2" customWidth="1"/>
    <col min="2312" max="2563" width="7.6640625" style="2" customWidth="1"/>
    <col min="2564" max="2564" width="14.33203125" style="2" customWidth="1"/>
    <col min="2565" max="2565" width="4" style="2" customWidth="1"/>
    <col min="2566" max="2566" width="14.33203125" style="2" customWidth="1"/>
    <col min="2567" max="2567" width="4" style="2" customWidth="1"/>
    <col min="2568" max="2819" width="7.6640625" style="2" customWidth="1"/>
    <col min="2820" max="2820" width="14.33203125" style="2" customWidth="1"/>
    <col min="2821" max="2821" width="4" style="2" customWidth="1"/>
    <col min="2822" max="2822" width="14.33203125" style="2" customWidth="1"/>
    <col min="2823" max="2823" width="4" style="2" customWidth="1"/>
    <col min="2824" max="3075" width="7.6640625" style="2" customWidth="1"/>
    <col min="3076" max="3076" width="14.33203125" style="2" customWidth="1"/>
    <col min="3077" max="3077" width="4" style="2" customWidth="1"/>
    <col min="3078" max="3078" width="14.33203125" style="2" customWidth="1"/>
    <col min="3079" max="3079" width="4" style="2" customWidth="1"/>
    <col min="3080" max="3331" width="7.6640625" style="2" customWidth="1"/>
    <col min="3332" max="3332" width="14.33203125" style="2" customWidth="1"/>
    <col min="3333" max="3333" width="4" style="2" customWidth="1"/>
    <col min="3334" max="3334" width="14.33203125" style="2" customWidth="1"/>
    <col min="3335" max="3335" width="4" style="2" customWidth="1"/>
    <col min="3336" max="3587" width="7.6640625" style="2" customWidth="1"/>
    <col min="3588" max="3588" width="14.33203125" style="2" customWidth="1"/>
    <col min="3589" max="3589" width="4" style="2" customWidth="1"/>
    <col min="3590" max="3590" width="14.33203125" style="2" customWidth="1"/>
    <col min="3591" max="3591" width="4" style="2" customWidth="1"/>
    <col min="3592" max="3843" width="7.6640625" style="2" customWidth="1"/>
    <col min="3844" max="3844" width="14.33203125" style="2" customWidth="1"/>
    <col min="3845" max="3845" width="4" style="2" customWidth="1"/>
    <col min="3846" max="3846" width="14.33203125" style="2" customWidth="1"/>
    <col min="3847" max="3847" width="4" style="2" customWidth="1"/>
    <col min="3848" max="4099" width="7.6640625" style="2" customWidth="1"/>
    <col min="4100" max="4100" width="14.33203125" style="2" customWidth="1"/>
    <col min="4101" max="4101" width="4" style="2" customWidth="1"/>
    <col min="4102" max="4102" width="14.33203125" style="2" customWidth="1"/>
    <col min="4103" max="4103" width="4" style="2" customWidth="1"/>
    <col min="4104" max="4355" width="7.6640625" style="2" customWidth="1"/>
    <col min="4356" max="4356" width="14.33203125" style="2" customWidth="1"/>
    <col min="4357" max="4357" width="4" style="2" customWidth="1"/>
    <col min="4358" max="4358" width="14.33203125" style="2" customWidth="1"/>
    <col min="4359" max="4359" width="4" style="2" customWidth="1"/>
    <col min="4360" max="4611" width="7.6640625" style="2" customWidth="1"/>
    <col min="4612" max="4612" width="14.33203125" style="2" customWidth="1"/>
    <col min="4613" max="4613" width="4" style="2" customWidth="1"/>
    <col min="4614" max="4614" width="14.33203125" style="2" customWidth="1"/>
    <col min="4615" max="4615" width="4" style="2" customWidth="1"/>
    <col min="4616" max="4867" width="7.6640625" style="2" customWidth="1"/>
    <col min="4868" max="4868" width="14.33203125" style="2" customWidth="1"/>
    <col min="4869" max="4869" width="4" style="2" customWidth="1"/>
    <col min="4870" max="4870" width="14.33203125" style="2" customWidth="1"/>
    <col min="4871" max="4871" width="4" style="2" customWidth="1"/>
    <col min="4872" max="5123" width="7.6640625" style="2" customWidth="1"/>
    <col min="5124" max="5124" width="14.33203125" style="2" customWidth="1"/>
    <col min="5125" max="5125" width="4" style="2" customWidth="1"/>
    <col min="5126" max="5126" width="14.33203125" style="2" customWidth="1"/>
    <col min="5127" max="5127" width="4" style="2" customWidth="1"/>
    <col min="5128" max="5379" width="7.6640625" style="2" customWidth="1"/>
    <col min="5380" max="5380" width="14.33203125" style="2" customWidth="1"/>
    <col min="5381" max="5381" width="4" style="2" customWidth="1"/>
    <col min="5382" max="5382" width="14.33203125" style="2" customWidth="1"/>
    <col min="5383" max="5383" width="4" style="2" customWidth="1"/>
    <col min="5384" max="5635" width="7.6640625" style="2" customWidth="1"/>
    <col min="5636" max="5636" width="14.33203125" style="2" customWidth="1"/>
    <col min="5637" max="5637" width="4" style="2" customWidth="1"/>
    <col min="5638" max="5638" width="14.33203125" style="2" customWidth="1"/>
    <col min="5639" max="5639" width="4" style="2" customWidth="1"/>
    <col min="5640" max="5891" width="7.6640625" style="2" customWidth="1"/>
    <col min="5892" max="5892" width="14.33203125" style="2" customWidth="1"/>
    <col min="5893" max="5893" width="4" style="2" customWidth="1"/>
    <col min="5894" max="5894" width="14.33203125" style="2" customWidth="1"/>
    <col min="5895" max="5895" width="4" style="2" customWidth="1"/>
    <col min="5896" max="6147" width="7.6640625" style="2" customWidth="1"/>
    <col min="6148" max="6148" width="14.33203125" style="2" customWidth="1"/>
    <col min="6149" max="6149" width="4" style="2" customWidth="1"/>
    <col min="6150" max="6150" width="14.33203125" style="2" customWidth="1"/>
    <col min="6151" max="6151" width="4" style="2" customWidth="1"/>
    <col min="6152" max="6403" width="7.6640625" style="2" customWidth="1"/>
    <col min="6404" max="6404" width="14.33203125" style="2" customWidth="1"/>
    <col min="6405" max="6405" width="4" style="2" customWidth="1"/>
    <col min="6406" max="6406" width="14.33203125" style="2" customWidth="1"/>
    <col min="6407" max="6407" width="4" style="2" customWidth="1"/>
    <col min="6408" max="6659" width="7.6640625" style="2" customWidth="1"/>
    <col min="6660" max="6660" width="14.33203125" style="2" customWidth="1"/>
    <col min="6661" max="6661" width="4" style="2" customWidth="1"/>
    <col min="6662" max="6662" width="14.33203125" style="2" customWidth="1"/>
    <col min="6663" max="6663" width="4" style="2" customWidth="1"/>
    <col min="6664" max="6915" width="7.6640625" style="2" customWidth="1"/>
    <col min="6916" max="6916" width="14.33203125" style="2" customWidth="1"/>
    <col min="6917" max="6917" width="4" style="2" customWidth="1"/>
    <col min="6918" max="6918" width="14.33203125" style="2" customWidth="1"/>
    <col min="6919" max="6919" width="4" style="2" customWidth="1"/>
    <col min="6920" max="7171" width="7.6640625" style="2" customWidth="1"/>
    <col min="7172" max="7172" width="14.33203125" style="2" customWidth="1"/>
    <col min="7173" max="7173" width="4" style="2" customWidth="1"/>
    <col min="7174" max="7174" width="14.33203125" style="2" customWidth="1"/>
    <col min="7175" max="7175" width="4" style="2" customWidth="1"/>
    <col min="7176" max="7427" width="7.6640625" style="2" customWidth="1"/>
    <col min="7428" max="7428" width="14.33203125" style="2" customWidth="1"/>
    <col min="7429" max="7429" width="4" style="2" customWidth="1"/>
    <col min="7430" max="7430" width="14.33203125" style="2" customWidth="1"/>
    <col min="7431" max="7431" width="4" style="2" customWidth="1"/>
    <col min="7432" max="7683" width="7.6640625" style="2" customWidth="1"/>
    <col min="7684" max="7684" width="14.33203125" style="2" customWidth="1"/>
    <col min="7685" max="7685" width="4" style="2" customWidth="1"/>
    <col min="7686" max="7686" width="14.33203125" style="2" customWidth="1"/>
    <col min="7687" max="7687" width="4" style="2" customWidth="1"/>
    <col min="7688" max="7939" width="7.6640625" style="2" customWidth="1"/>
    <col min="7940" max="7940" width="14.33203125" style="2" customWidth="1"/>
    <col min="7941" max="7941" width="4" style="2" customWidth="1"/>
    <col min="7942" max="7942" width="14.33203125" style="2" customWidth="1"/>
    <col min="7943" max="7943" width="4" style="2" customWidth="1"/>
    <col min="7944" max="8195" width="7.6640625" style="2" customWidth="1"/>
    <col min="8196" max="8196" width="14.33203125" style="2" customWidth="1"/>
    <col min="8197" max="8197" width="4" style="2" customWidth="1"/>
    <col min="8198" max="8198" width="14.33203125" style="2" customWidth="1"/>
    <col min="8199" max="8199" width="4" style="2" customWidth="1"/>
    <col min="8200" max="8451" width="7.6640625" style="2" customWidth="1"/>
    <col min="8452" max="8452" width="14.33203125" style="2" customWidth="1"/>
    <col min="8453" max="8453" width="4" style="2" customWidth="1"/>
    <col min="8454" max="8454" width="14.33203125" style="2" customWidth="1"/>
    <col min="8455" max="8455" width="4" style="2" customWidth="1"/>
    <col min="8456" max="8707" width="7.6640625" style="2" customWidth="1"/>
    <col min="8708" max="8708" width="14.33203125" style="2" customWidth="1"/>
    <col min="8709" max="8709" width="4" style="2" customWidth="1"/>
    <col min="8710" max="8710" width="14.33203125" style="2" customWidth="1"/>
    <col min="8711" max="8711" width="4" style="2" customWidth="1"/>
    <col min="8712" max="8963" width="7.6640625" style="2" customWidth="1"/>
    <col min="8964" max="8964" width="14.33203125" style="2" customWidth="1"/>
    <col min="8965" max="8965" width="4" style="2" customWidth="1"/>
    <col min="8966" max="8966" width="14.33203125" style="2" customWidth="1"/>
    <col min="8967" max="8967" width="4" style="2" customWidth="1"/>
    <col min="8968" max="9219" width="7.6640625" style="2" customWidth="1"/>
    <col min="9220" max="9220" width="14.33203125" style="2" customWidth="1"/>
    <col min="9221" max="9221" width="4" style="2" customWidth="1"/>
    <col min="9222" max="9222" width="14.33203125" style="2" customWidth="1"/>
    <col min="9223" max="9223" width="4" style="2" customWidth="1"/>
    <col min="9224" max="9475" width="7.6640625" style="2" customWidth="1"/>
    <col min="9476" max="9476" width="14.33203125" style="2" customWidth="1"/>
    <col min="9477" max="9477" width="4" style="2" customWidth="1"/>
    <col min="9478" max="9478" width="14.33203125" style="2" customWidth="1"/>
    <col min="9479" max="9479" width="4" style="2" customWidth="1"/>
    <col min="9480" max="9731" width="7.6640625" style="2" customWidth="1"/>
    <col min="9732" max="9732" width="14.33203125" style="2" customWidth="1"/>
    <col min="9733" max="9733" width="4" style="2" customWidth="1"/>
    <col min="9734" max="9734" width="14.33203125" style="2" customWidth="1"/>
    <col min="9735" max="9735" width="4" style="2" customWidth="1"/>
    <col min="9736" max="9987" width="7.6640625" style="2" customWidth="1"/>
    <col min="9988" max="9988" width="14.33203125" style="2" customWidth="1"/>
    <col min="9989" max="9989" width="4" style="2" customWidth="1"/>
    <col min="9990" max="9990" width="14.33203125" style="2" customWidth="1"/>
    <col min="9991" max="9991" width="4" style="2" customWidth="1"/>
    <col min="9992" max="10243" width="7.6640625" style="2" customWidth="1"/>
    <col min="10244" max="10244" width="14.33203125" style="2" customWidth="1"/>
    <col min="10245" max="10245" width="4" style="2" customWidth="1"/>
    <col min="10246" max="10246" width="14.33203125" style="2" customWidth="1"/>
    <col min="10247" max="10247" width="4" style="2" customWidth="1"/>
    <col min="10248" max="10499" width="7.6640625" style="2" customWidth="1"/>
    <col min="10500" max="10500" width="14.33203125" style="2" customWidth="1"/>
    <col min="10501" max="10501" width="4" style="2" customWidth="1"/>
    <col min="10502" max="10502" width="14.33203125" style="2" customWidth="1"/>
    <col min="10503" max="10503" width="4" style="2" customWidth="1"/>
    <col min="10504" max="10755" width="7.6640625" style="2" customWidth="1"/>
    <col min="10756" max="10756" width="14.33203125" style="2" customWidth="1"/>
    <col min="10757" max="10757" width="4" style="2" customWidth="1"/>
    <col min="10758" max="10758" width="14.33203125" style="2" customWidth="1"/>
    <col min="10759" max="10759" width="4" style="2" customWidth="1"/>
    <col min="10760" max="11011" width="7.6640625" style="2" customWidth="1"/>
    <col min="11012" max="11012" width="14.33203125" style="2" customWidth="1"/>
    <col min="11013" max="11013" width="4" style="2" customWidth="1"/>
    <col min="11014" max="11014" width="14.33203125" style="2" customWidth="1"/>
    <col min="11015" max="11015" width="4" style="2" customWidth="1"/>
    <col min="11016" max="11267" width="7.6640625" style="2" customWidth="1"/>
    <col min="11268" max="11268" width="14.33203125" style="2" customWidth="1"/>
    <col min="11269" max="11269" width="4" style="2" customWidth="1"/>
    <col min="11270" max="11270" width="14.33203125" style="2" customWidth="1"/>
    <col min="11271" max="11271" width="4" style="2" customWidth="1"/>
    <col min="11272" max="11523" width="7.6640625" style="2" customWidth="1"/>
    <col min="11524" max="11524" width="14.33203125" style="2" customWidth="1"/>
    <col min="11525" max="11525" width="4" style="2" customWidth="1"/>
    <col min="11526" max="11526" width="14.33203125" style="2" customWidth="1"/>
    <col min="11527" max="11527" width="4" style="2" customWidth="1"/>
    <col min="11528" max="11779" width="7.6640625" style="2" customWidth="1"/>
    <col min="11780" max="11780" width="14.33203125" style="2" customWidth="1"/>
    <col min="11781" max="11781" width="4" style="2" customWidth="1"/>
    <col min="11782" max="11782" width="14.33203125" style="2" customWidth="1"/>
    <col min="11783" max="11783" width="4" style="2" customWidth="1"/>
    <col min="11784" max="12035" width="7.6640625" style="2" customWidth="1"/>
    <col min="12036" max="12036" width="14.33203125" style="2" customWidth="1"/>
    <col min="12037" max="12037" width="4" style="2" customWidth="1"/>
    <col min="12038" max="12038" width="14.33203125" style="2" customWidth="1"/>
    <col min="12039" max="12039" width="4" style="2" customWidth="1"/>
    <col min="12040" max="12291" width="7.6640625" style="2" customWidth="1"/>
    <col min="12292" max="12292" width="14.33203125" style="2" customWidth="1"/>
    <col min="12293" max="12293" width="4" style="2" customWidth="1"/>
    <col min="12294" max="12294" width="14.33203125" style="2" customWidth="1"/>
    <col min="12295" max="12295" width="4" style="2" customWidth="1"/>
    <col min="12296" max="12547" width="7.6640625" style="2" customWidth="1"/>
    <col min="12548" max="12548" width="14.33203125" style="2" customWidth="1"/>
    <col min="12549" max="12549" width="4" style="2" customWidth="1"/>
    <col min="12550" max="12550" width="14.33203125" style="2" customWidth="1"/>
    <col min="12551" max="12551" width="4" style="2" customWidth="1"/>
    <col min="12552" max="12803" width="7.6640625" style="2" customWidth="1"/>
    <col min="12804" max="12804" width="14.33203125" style="2" customWidth="1"/>
    <col min="12805" max="12805" width="4" style="2" customWidth="1"/>
    <col min="12806" max="12806" width="14.33203125" style="2" customWidth="1"/>
    <col min="12807" max="12807" width="4" style="2" customWidth="1"/>
    <col min="12808" max="13059" width="7.6640625" style="2" customWidth="1"/>
    <col min="13060" max="13060" width="14.33203125" style="2" customWidth="1"/>
    <col min="13061" max="13061" width="4" style="2" customWidth="1"/>
    <col min="13062" max="13062" width="14.33203125" style="2" customWidth="1"/>
    <col min="13063" max="13063" width="4" style="2" customWidth="1"/>
    <col min="13064" max="13315" width="7.6640625" style="2" customWidth="1"/>
    <col min="13316" max="13316" width="14.33203125" style="2" customWidth="1"/>
    <col min="13317" max="13317" width="4" style="2" customWidth="1"/>
    <col min="13318" max="13318" width="14.33203125" style="2" customWidth="1"/>
    <col min="13319" max="13319" width="4" style="2" customWidth="1"/>
    <col min="13320" max="13571" width="7.6640625" style="2" customWidth="1"/>
    <col min="13572" max="13572" width="14.33203125" style="2" customWidth="1"/>
    <col min="13573" max="13573" width="4" style="2" customWidth="1"/>
    <col min="13574" max="13574" width="14.33203125" style="2" customWidth="1"/>
    <col min="13575" max="13575" width="4" style="2" customWidth="1"/>
    <col min="13576" max="13827" width="7.6640625" style="2" customWidth="1"/>
    <col min="13828" max="13828" width="14.33203125" style="2" customWidth="1"/>
    <col min="13829" max="13829" width="4" style="2" customWidth="1"/>
    <col min="13830" max="13830" width="14.33203125" style="2" customWidth="1"/>
    <col min="13831" max="13831" width="4" style="2" customWidth="1"/>
    <col min="13832" max="14083" width="7.6640625" style="2" customWidth="1"/>
    <col min="14084" max="14084" width="14.33203125" style="2" customWidth="1"/>
    <col min="14085" max="14085" width="4" style="2" customWidth="1"/>
    <col min="14086" max="14086" width="14.33203125" style="2" customWidth="1"/>
    <col min="14087" max="14087" width="4" style="2" customWidth="1"/>
    <col min="14088" max="14339" width="7.6640625" style="2" customWidth="1"/>
    <col min="14340" max="14340" width="14.33203125" style="2" customWidth="1"/>
    <col min="14341" max="14341" width="4" style="2" customWidth="1"/>
    <col min="14342" max="14342" width="14.33203125" style="2" customWidth="1"/>
    <col min="14343" max="14343" width="4" style="2" customWidth="1"/>
    <col min="14344" max="14595" width="7.6640625" style="2" customWidth="1"/>
    <col min="14596" max="14596" width="14.33203125" style="2" customWidth="1"/>
    <col min="14597" max="14597" width="4" style="2" customWidth="1"/>
    <col min="14598" max="14598" width="14.33203125" style="2" customWidth="1"/>
    <col min="14599" max="14599" width="4" style="2" customWidth="1"/>
    <col min="14600" max="14851" width="7.6640625" style="2" customWidth="1"/>
    <col min="14852" max="14852" width="14.33203125" style="2" customWidth="1"/>
    <col min="14853" max="14853" width="4" style="2" customWidth="1"/>
    <col min="14854" max="14854" width="14.33203125" style="2" customWidth="1"/>
    <col min="14855" max="14855" width="4" style="2" customWidth="1"/>
    <col min="14856" max="15107" width="7.6640625" style="2" customWidth="1"/>
    <col min="15108" max="15108" width="14.33203125" style="2" customWidth="1"/>
    <col min="15109" max="15109" width="4" style="2" customWidth="1"/>
    <col min="15110" max="15110" width="14.33203125" style="2" customWidth="1"/>
    <col min="15111" max="15111" width="4" style="2" customWidth="1"/>
    <col min="15112" max="15363" width="7.6640625" style="2" customWidth="1"/>
    <col min="15364" max="15364" width="14.33203125" style="2" customWidth="1"/>
    <col min="15365" max="15365" width="4" style="2" customWidth="1"/>
    <col min="15366" max="15366" width="14.33203125" style="2" customWidth="1"/>
    <col min="15367" max="15367" width="4" style="2" customWidth="1"/>
    <col min="15368" max="15619" width="7.6640625" style="2" customWidth="1"/>
    <col min="15620" max="15620" width="14.33203125" style="2" customWidth="1"/>
    <col min="15621" max="15621" width="4" style="2" customWidth="1"/>
    <col min="15622" max="15622" width="14.33203125" style="2" customWidth="1"/>
    <col min="15623" max="15623" width="4" style="2" customWidth="1"/>
    <col min="15624" max="15875" width="7.6640625" style="2" customWidth="1"/>
    <col min="15876" max="15876" width="14.33203125" style="2" customWidth="1"/>
    <col min="15877" max="15877" width="4" style="2" customWidth="1"/>
    <col min="15878" max="15878" width="14.33203125" style="2" customWidth="1"/>
    <col min="15879" max="15879" width="4" style="2" customWidth="1"/>
    <col min="15880" max="16131" width="7.6640625" style="2" customWidth="1"/>
    <col min="16132" max="16132" width="14.33203125" style="2" customWidth="1"/>
    <col min="16133" max="16133" width="4" style="2" customWidth="1"/>
    <col min="16134" max="16134" width="14.33203125" style="2" customWidth="1"/>
    <col min="16135" max="16135" width="4" style="2" customWidth="1"/>
    <col min="16136" max="16384" width="7.6640625" style="2" customWidth="1"/>
  </cols>
  <sheetData>
    <row r="1" spans="1:16" ht="15" customHeight="1" x14ac:dyDescent="0.3">
      <c r="A1" s="1"/>
      <c r="B1" s="1"/>
      <c r="C1" s="86"/>
      <c r="D1" s="86"/>
      <c r="E1" s="86"/>
      <c r="F1" s="86"/>
      <c r="G1" s="1"/>
      <c r="H1" s="1"/>
      <c r="I1" s="1"/>
      <c r="J1" s="1"/>
      <c r="K1" s="1"/>
      <c r="L1" s="1"/>
      <c r="M1" s="1"/>
      <c r="N1" s="1"/>
      <c r="O1" s="1"/>
      <c r="P1" s="1"/>
    </row>
    <row r="2" spans="1:16" ht="15" customHeight="1" x14ac:dyDescent="0.3">
      <c r="A2" s="3"/>
      <c r="B2" s="589" t="s">
        <v>349</v>
      </c>
      <c r="C2" s="3"/>
      <c r="D2" s="355"/>
      <c r="E2" s="10"/>
      <c r="F2" s="159"/>
      <c r="G2" s="3"/>
      <c r="H2" s="3"/>
      <c r="I2" s="3"/>
      <c r="J2" s="3"/>
      <c r="K2" s="3"/>
      <c r="L2" s="3"/>
      <c r="M2" s="3"/>
      <c r="N2" s="3"/>
      <c r="O2" s="3"/>
      <c r="P2" s="79"/>
    </row>
    <row r="3" spans="1:16" ht="15" customHeight="1" x14ac:dyDescent="0.3">
      <c r="A3" s="3"/>
      <c r="B3" s="594" t="str">
        <f>Overview!$B$7</f>
        <v>Grove Park Drive</v>
      </c>
      <c r="C3" s="594"/>
      <c r="D3" s="594"/>
      <c r="E3" s="594"/>
      <c r="F3" s="594"/>
      <c r="G3" s="3"/>
      <c r="H3" s="3"/>
      <c r="I3" s="3"/>
      <c r="J3" s="3"/>
      <c r="K3" s="3"/>
      <c r="L3" s="3"/>
      <c r="M3" s="3"/>
      <c r="N3" s="3"/>
      <c r="O3" s="3"/>
      <c r="P3" s="79"/>
    </row>
    <row r="4" spans="1:16" ht="15" customHeight="1" x14ac:dyDescent="0.3">
      <c r="A4" s="3"/>
      <c r="B4" s="9"/>
      <c r="D4" s="155"/>
      <c r="E4" s="10"/>
      <c r="F4" s="159"/>
      <c r="G4" s="3"/>
      <c r="H4" s="3"/>
      <c r="I4" s="3"/>
      <c r="J4" s="3"/>
      <c r="K4" s="3"/>
      <c r="L4" s="3"/>
      <c r="M4" s="3"/>
      <c r="N4" s="3"/>
      <c r="O4" s="3"/>
      <c r="P4" s="79"/>
    </row>
    <row r="5" spans="1:16" ht="15" customHeight="1" x14ac:dyDescent="0.3">
      <c r="A5" s="3"/>
      <c r="B5" s="3"/>
      <c r="C5" s="26" t="s">
        <v>145</v>
      </c>
      <c r="D5" s="156"/>
      <c r="E5" s="19"/>
      <c r="F5" s="19"/>
      <c r="G5" s="19"/>
      <c r="H5" s="19"/>
      <c r="I5" s="19"/>
      <c r="J5" s="19"/>
      <c r="K5" s="19"/>
      <c r="L5" s="19"/>
      <c r="M5" s="19"/>
      <c r="N5" s="19"/>
      <c r="O5" s="19"/>
      <c r="P5" s="79"/>
    </row>
    <row r="6" spans="1:16" s="151" customFormat="1" ht="27" thickBot="1" x14ac:dyDescent="0.35">
      <c r="A6" s="7"/>
      <c r="B6" s="7"/>
      <c r="C6" s="193" t="s">
        <v>162</v>
      </c>
      <c r="D6" s="193" t="s">
        <v>146</v>
      </c>
      <c r="E6" s="556" t="s">
        <v>20</v>
      </c>
      <c r="F6" s="556" t="s">
        <v>147</v>
      </c>
      <c r="G6" s="556" t="s">
        <v>148</v>
      </c>
      <c r="H6" s="556" t="s">
        <v>149</v>
      </c>
      <c r="I6" s="556" t="s">
        <v>21</v>
      </c>
      <c r="J6" s="218" t="s">
        <v>25</v>
      </c>
      <c r="K6" s="556" t="s">
        <v>158</v>
      </c>
      <c r="L6" s="556" t="s">
        <v>159</v>
      </c>
      <c r="M6" s="556" t="s">
        <v>160</v>
      </c>
      <c r="N6" s="556" t="s">
        <v>161</v>
      </c>
      <c r="O6" s="254"/>
      <c r="P6" s="81"/>
    </row>
    <row r="7" spans="1:16" ht="15" customHeight="1" x14ac:dyDescent="0.3">
      <c r="A7" s="3"/>
      <c r="B7" s="3"/>
      <c r="C7" s="470">
        <f>Results!A8</f>
        <v>0.1111111111111111</v>
      </c>
      <c r="D7" s="471">
        <v>1</v>
      </c>
      <c r="E7" s="472" t="str">
        <f>Results!C8</f>
        <v>Start</v>
      </c>
      <c r="F7" s="472" t="str">
        <f>Results!D8</f>
        <v>to jct 1</v>
      </c>
      <c r="G7" s="471">
        <f>Results!E8</f>
        <v>0</v>
      </c>
      <c r="H7" s="471">
        <f>Results!F8</f>
        <v>5</v>
      </c>
      <c r="I7" s="471">
        <f>Results!G8</f>
        <v>5</v>
      </c>
      <c r="J7" s="473">
        <f>Results!H8</f>
        <v>75</v>
      </c>
      <c r="K7" s="474">
        <f>Results!S8</f>
        <v>-823617.67939131358</v>
      </c>
      <c r="L7" s="475">
        <f>Results!T8</f>
        <v>0.12590685417127442</v>
      </c>
      <c r="M7" s="545">
        <f>Results!U8</f>
        <v>1.1166257863507684E-2</v>
      </c>
      <c r="N7" s="475">
        <f>Results!V8</f>
        <v>1.6767095641526888</v>
      </c>
      <c r="O7" s="255"/>
      <c r="P7" s="79"/>
    </row>
    <row r="8" spans="1:16" ht="15" customHeight="1" x14ac:dyDescent="0.3">
      <c r="A8" s="3"/>
      <c r="B8" s="3"/>
      <c r="C8" s="201">
        <f>Results!A9</f>
        <v>0.22222222222222221</v>
      </c>
      <c r="D8" s="206">
        <v>2</v>
      </c>
      <c r="E8" s="203" t="str">
        <f>Results!C9</f>
        <v>from jct 1</v>
      </c>
      <c r="F8" s="203" t="str">
        <f>Results!D9</f>
        <v>to jct 2</v>
      </c>
      <c r="G8" s="202">
        <f>Results!E9</f>
        <v>5</v>
      </c>
      <c r="H8" s="202">
        <f>Results!F9</f>
        <v>15</v>
      </c>
      <c r="I8" s="202">
        <f>Results!G9</f>
        <v>10</v>
      </c>
      <c r="J8" s="221">
        <f>Results!H9</f>
        <v>75</v>
      </c>
      <c r="K8" s="205">
        <f>Results!S9</f>
        <v>-1647235.3587826272</v>
      </c>
      <c r="L8" s="283">
        <f>Results!T9</f>
        <v>0.12590685417127442</v>
      </c>
      <c r="M8" s="544">
        <f>Results!U9</f>
        <v>1.1166257863507684E-2</v>
      </c>
      <c r="N8" s="283">
        <f>Results!V9</f>
        <v>3.3534191283053776</v>
      </c>
      <c r="O8" s="255"/>
      <c r="P8" s="79"/>
    </row>
    <row r="9" spans="1:16" ht="15" customHeight="1" x14ac:dyDescent="0.3">
      <c r="A9" s="3"/>
      <c r="B9" s="3"/>
      <c r="C9" s="201">
        <f>Results!A10</f>
        <v>0.22222222222222221</v>
      </c>
      <c r="D9" s="206">
        <v>3</v>
      </c>
      <c r="E9" s="203" t="str">
        <f>Results!C10</f>
        <v>from jct 2</v>
      </c>
      <c r="F9" s="203" t="str">
        <f>Results!D10</f>
        <v>to jct 3</v>
      </c>
      <c r="G9" s="202">
        <f>Results!E10</f>
        <v>15</v>
      </c>
      <c r="H9" s="202">
        <f>Results!F10</f>
        <v>25</v>
      </c>
      <c r="I9" s="202">
        <f>Results!G10</f>
        <v>10</v>
      </c>
      <c r="J9" s="221">
        <f>Results!H10</f>
        <v>75</v>
      </c>
      <c r="K9" s="205">
        <f>Results!S10</f>
        <v>-1647235.3587826272</v>
      </c>
      <c r="L9" s="283">
        <f>Results!T10</f>
        <v>0.12590685417127442</v>
      </c>
      <c r="M9" s="544">
        <f>Results!U10</f>
        <v>1.1166257863507684E-2</v>
      </c>
      <c r="N9" s="283">
        <f>Results!V10</f>
        <v>3.3534191283053776</v>
      </c>
      <c r="O9" s="255"/>
      <c r="P9" s="79"/>
    </row>
    <row r="10" spans="1:16" ht="15" customHeight="1" x14ac:dyDescent="0.3">
      <c r="A10" s="3"/>
      <c r="B10" s="3"/>
      <c r="C10" s="201">
        <f>Results!A11</f>
        <v>0.22222222222222221</v>
      </c>
      <c r="D10" s="206">
        <v>4</v>
      </c>
      <c r="E10" s="203" t="str">
        <f>Results!C11</f>
        <v>from jct 3</v>
      </c>
      <c r="F10" s="203" t="str">
        <f>Results!D11</f>
        <v>to jct 4</v>
      </c>
      <c r="G10" s="202">
        <f>Results!E11</f>
        <v>25</v>
      </c>
      <c r="H10" s="202">
        <f>Results!F11</f>
        <v>35</v>
      </c>
      <c r="I10" s="202">
        <f>Results!G11</f>
        <v>10</v>
      </c>
      <c r="J10" s="221">
        <f>Results!H11</f>
        <v>75</v>
      </c>
      <c r="K10" s="205">
        <f>Results!S11</f>
        <v>-1647235.3587826272</v>
      </c>
      <c r="L10" s="283">
        <f>Results!T11</f>
        <v>0.12590685417127442</v>
      </c>
      <c r="M10" s="544">
        <f>Results!U11</f>
        <v>1.1166257863507684E-2</v>
      </c>
      <c r="N10" s="283">
        <f>Results!V11</f>
        <v>3.3534191283053776</v>
      </c>
      <c r="O10" s="255"/>
      <c r="P10" s="79"/>
    </row>
    <row r="11" spans="1:16" ht="15" customHeight="1" thickBot="1" x14ac:dyDescent="0.35">
      <c r="A11" s="3"/>
      <c r="B11" s="3"/>
      <c r="C11" s="208">
        <f>Results!A12</f>
        <v>0.22222222222222221</v>
      </c>
      <c r="D11" s="209">
        <v>5</v>
      </c>
      <c r="E11" s="212" t="str">
        <f>Results!C12</f>
        <v>from jct 3</v>
      </c>
      <c r="F11" s="212" t="str">
        <f>Results!D12</f>
        <v>End</v>
      </c>
      <c r="G11" s="209">
        <f>Results!E12</f>
        <v>35</v>
      </c>
      <c r="H11" s="209">
        <f>Results!F12</f>
        <v>45</v>
      </c>
      <c r="I11" s="209">
        <f>Results!G12</f>
        <v>10</v>
      </c>
      <c r="J11" s="222">
        <f>Results!H12</f>
        <v>75</v>
      </c>
      <c r="K11" s="453">
        <f>Results!S12</f>
        <v>-1647235.3587826272</v>
      </c>
      <c r="L11" s="285">
        <f>Results!T12</f>
        <v>0.12590685417127442</v>
      </c>
      <c r="M11" s="543">
        <f>Results!U12</f>
        <v>1.1166257863507684E-2</v>
      </c>
      <c r="N11" s="285">
        <f>Results!V12</f>
        <v>3.3534191283053776</v>
      </c>
      <c r="O11" s="255"/>
      <c r="P11" s="79"/>
    </row>
    <row r="12" spans="1:16" ht="15" customHeight="1" x14ac:dyDescent="0.3">
      <c r="A12" s="3"/>
      <c r="B12" s="3"/>
      <c r="C12" s="261"/>
      <c r="D12" s="262"/>
      <c r="E12" s="58"/>
      <c r="F12" s="58"/>
      <c r="G12" s="844"/>
      <c r="H12" s="844"/>
      <c r="I12" s="844"/>
      <c r="J12" s="844"/>
      <c r="K12" s="158"/>
      <c r="L12" s="844"/>
      <c r="M12" s="851"/>
      <c r="N12" s="844"/>
      <c r="O12" s="262"/>
      <c r="P12" s="79"/>
    </row>
    <row r="13" spans="1:16" ht="15" customHeight="1" x14ac:dyDescent="0.3">
      <c r="A13" s="3"/>
      <c r="B13" s="3"/>
      <c r="C13" s="26" t="s">
        <v>179</v>
      </c>
      <c r="D13" s="219"/>
      <c r="E13" s="220"/>
      <c r="F13" s="220"/>
      <c r="G13" s="220"/>
      <c r="H13" s="220"/>
      <c r="I13" s="220"/>
      <c r="J13" s="220"/>
      <c r="K13" s="220"/>
      <c r="L13" s="220"/>
      <c r="M13" s="220"/>
      <c r="N13" s="220"/>
      <c r="O13" s="220"/>
      <c r="P13" s="79"/>
    </row>
    <row r="14" spans="1:16" ht="27" thickBot="1" x14ac:dyDescent="0.35">
      <c r="A14" s="3"/>
      <c r="B14" s="3"/>
      <c r="C14" s="194" t="s">
        <v>162</v>
      </c>
      <c r="D14" s="194" t="s">
        <v>146</v>
      </c>
      <c r="E14" s="557" t="s">
        <v>20</v>
      </c>
      <c r="F14" s="557" t="s">
        <v>147</v>
      </c>
      <c r="G14" s="557" t="s">
        <v>148</v>
      </c>
      <c r="H14" s="557" t="s">
        <v>149</v>
      </c>
      <c r="I14" s="557" t="s">
        <v>21</v>
      </c>
      <c r="J14" s="157" t="s">
        <v>25</v>
      </c>
      <c r="K14" s="557" t="s">
        <v>158</v>
      </c>
      <c r="L14" s="557" t="s">
        <v>159</v>
      </c>
      <c r="M14" s="557" t="s">
        <v>160</v>
      </c>
      <c r="N14" s="557" t="s">
        <v>161</v>
      </c>
      <c r="O14" s="254"/>
      <c r="P14" s="79"/>
    </row>
    <row r="15" spans="1:16" ht="15" customHeight="1" x14ac:dyDescent="0.3">
      <c r="A15" s="3"/>
      <c r="B15" s="3"/>
      <c r="C15" s="201">
        <f>Results!A17</f>
        <v>0.1111111111111111</v>
      </c>
      <c r="D15" s="269">
        <v>1</v>
      </c>
      <c r="E15" s="203" t="str">
        <f>Results!C17</f>
        <v>Start</v>
      </c>
      <c r="F15" s="203" t="str">
        <f>Results!D17</f>
        <v>to jct 1</v>
      </c>
      <c r="G15" s="202">
        <f>Results!E17</f>
        <v>0</v>
      </c>
      <c r="H15" s="202">
        <f>Results!F17</f>
        <v>5</v>
      </c>
      <c r="I15" s="202">
        <f>Results!G17</f>
        <v>5</v>
      </c>
      <c r="J15" s="221">
        <f>Results!H17</f>
        <v>75</v>
      </c>
      <c r="K15" s="205">
        <f>Results!S17</f>
        <v>-395745.7508838292</v>
      </c>
      <c r="L15" s="283">
        <f>Results!T17</f>
        <v>0.38028925847317158</v>
      </c>
      <c r="M15" s="542">
        <f>Results!U17</f>
        <v>3.2951740400527646E-2</v>
      </c>
      <c r="N15" s="283">
        <f>Results!V17</f>
        <v>3.3534191283053776</v>
      </c>
      <c r="O15" s="255"/>
      <c r="P15" s="79"/>
    </row>
    <row r="16" spans="1:16" ht="15" customHeight="1" x14ac:dyDescent="0.3">
      <c r="A16" s="3"/>
      <c r="B16" s="3"/>
      <c r="C16" s="201">
        <f>Results!A18</f>
        <v>0.22222222222222221</v>
      </c>
      <c r="D16" s="270">
        <v>2</v>
      </c>
      <c r="E16" s="203" t="str">
        <f>Results!C18</f>
        <v>from jct 1</v>
      </c>
      <c r="F16" s="203" t="str">
        <f>Results!D18</f>
        <v>to jct 2</v>
      </c>
      <c r="G16" s="202">
        <f>Results!E18</f>
        <v>5</v>
      </c>
      <c r="H16" s="202">
        <f>Results!F18</f>
        <v>15</v>
      </c>
      <c r="I16" s="202">
        <f>Results!G18</f>
        <v>10</v>
      </c>
      <c r="J16" s="221">
        <f>Results!H18</f>
        <v>75</v>
      </c>
      <c r="K16" s="205">
        <f>Results!S18</f>
        <v>-791491.5017676584</v>
      </c>
      <c r="L16" s="283">
        <f>Results!T18</f>
        <v>0.38028925847317158</v>
      </c>
      <c r="M16" s="541">
        <f>Results!U18</f>
        <v>3.2951740400527646E-2</v>
      </c>
      <c r="N16" s="283">
        <f>Results!V18</f>
        <v>6.7068382566107552</v>
      </c>
      <c r="O16" s="255"/>
      <c r="P16" s="79"/>
    </row>
    <row r="17" spans="1:16" ht="15" customHeight="1" x14ac:dyDescent="0.3">
      <c r="A17" s="3"/>
      <c r="B17" s="3"/>
      <c r="C17" s="201">
        <f>Results!A19</f>
        <v>0.22222222222222221</v>
      </c>
      <c r="D17" s="270">
        <v>3</v>
      </c>
      <c r="E17" s="203" t="str">
        <f>Results!C19</f>
        <v>from jct 2</v>
      </c>
      <c r="F17" s="203" t="str">
        <f>Results!D19</f>
        <v>to jct 3</v>
      </c>
      <c r="G17" s="202">
        <f>Results!E19</f>
        <v>15</v>
      </c>
      <c r="H17" s="202">
        <f>Results!F19</f>
        <v>25</v>
      </c>
      <c r="I17" s="202">
        <f>Results!G19</f>
        <v>10</v>
      </c>
      <c r="J17" s="221">
        <f>Results!H19</f>
        <v>75</v>
      </c>
      <c r="K17" s="205">
        <f>Results!S19</f>
        <v>-791491.5017676584</v>
      </c>
      <c r="L17" s="283">
        <f>Results!T19</f>
        <v>0.38028925847317158</v>
      </c>
      <c r="M17" s="541">
        <f>Results!U19</f>
        <v>3.2951740400527646E-2</v>
      </c>
      <c r="N17" s="283">
        <f>Results!V19</f>
        <v>6.7068382566107552</v>
      </c>
      <c r="O17" s="255"/>
      <c r="P17" s="79"/>
    </row>
    <row r="18" spans="1:16" ht="15" customHeight="1" x14ac:dyDescent="0.3">
      <c r="A18" s="3"/>
      <c r="B18" s="3"/>
      <c r="C18" s="201">
        <f>Results!A20</f>
        <v>0.22222222222222221</v>
      </c>
      <c r="D18" s="270">
        <v>4</v>
      </c>
      <c r="E18" s="203" t="str">
        <f>Results!C20</f>
        <v>from jct 3</v>
      </c>
      <c r="F18" s="203" t="str">
        <f>Results!D20</f>
        <v>to jct 4</v>
      </c>
      <c r="G18" s="202">
        <f>Results!E20</f>
        <v>25</v>
      </c>
      <c r="H18" s="202">
        <f>Results!F20</f>
        <v>35</v>
      </c>
      <c r="I18" s="202">
        <f>Results!G20</f>
        <v>10</v>
      </c>
      <c r="J18" s="221">
        <f>Results!H20</f>
        <v>75</v>
      </c>
      <c r="K18" s="205">
        <f>Results!S20</f>
        <v>-791491.5017676584</v>
      </c>
      <c r="L18" s="283">
        <f>Results!T20</f>
        <v>0.38028925847317158</v>
      </c>
      <c r="M18" s="541">
        <f>Results!U20</f>
        <v>3.2951740400527646E-2</v>
      </c>
      <c r="N18" s="283">
        <f>Results!V20</f>
        <v>6.7068382566107552</v>
      </c>
      <c r="O18" s="255"/>
      <c r="P18" s="79"/>
    </row>
    <row r="19" spans="1:16" ht="13.8" thickBot="1" x14ac:dyDescent="0.35">
      <c r="A19" s="3"/>
      <c r="B19" s="3"/>
      <c r="C19" s="468">
        <f>Results!A21</f>
        <v>0.22222222222222221</v>
      </c>
      <c r="D19" s="271">
        <v>5</v>
      </c>
      <c r="E19" s="212" t="str">
        <f>Results!C21</f>
        <v>from jct 3</v>
      </c>
      <c r="F19" s="212" t="str">
        <f>Results!D21</f>
        <v>End</v>
      </c>
      <c r="G19" s="209">
        <f>Results!E21</f>
        <v>35</v>
      </c>
      <c r="H19" s="209">
        <f>Results!F21</f>
        <v>45</v>
      </c>
      <c r="I19" s="209">
        <f>Results!G21</f>
        <v>10</v>
      </c>
      <c r="J19" s="222">
        <f>Results!H21</f>
        <v>75</v>
      </c>
      <c r="K19" s="453">
        <f>Results!S21</f>
        <v>-791491.5017676584</v>
      </c>
      <c r="L19" s="579">
        <f>Results!T21</f>
        <v>0.38028925847317158</v>
      </c>
      <c r="M19" s="540">
        <f>Results!U21</f>
        <v>3.2951740400527646E-2</v>
      </c>
      <c r="N19" s="579">
        <f>Results!V21</f>
        <v>6.7068382566107552</v>
      </c>
      <c r="O19" s="255"/>
      <c r="P19" s="79"/>
    </row>
    <row r="20" spans="1:16" ht="13.2" x14ac:dyDescent="0.3">
      <c r="A20" s="3"/>
      <c r="B20" s="3"/>
      <c r="C20" s="261"/>
      <c r="D20" s="262"/>
      <c r="E20" s="58"/>
      <c r="F20" s="58"/>
      <c r="G20" s="844"/>
      <c r="H20" s="844"/>
      <c r="I20" s="844"/>
      <c r="J20" s="844"/>
      <c r="K20" s="158"/>
      <c r="L20" s="844"/>
      <c r="M20" s="851"/>
      <c r="N20" s="844"/>
      <c r="O20" s="262"/>
      <c r="P20" s="79"/>
    </row>
    <row r="21" spans="1:16" ht="15" customHeight="1" x14ac:dyDescent="0.3">
      <c r="A21" s="3"/>
      <c r="B21" s="3"/>
      <c r="C21" s="26" t="s">
        <v>180</v>
      </c>
      <c r="D21" s="197"/>
      <c r="E21" s="58"/>
      <c r="F21" s="58"/>
      <c r="G21" s="844"/>
      <c r="H21" s="844"/>
      <c r="I21" s="844"/>
      <c r="J21" s="844"/>
      <c r="K21" s="158"/>
      <c r="L21" s="844"/>
      <c r="M21" s="851"/>
      <c r="N21" s="844"/>
      <c r="O21" s="255"/>
      <c r="P21" s="79"/>
    </row>
    <row r="22" spans="1:16" ht="27" thickBot="1" x14ac:dyDescent="0.35">
      <c r="A22" s="3"/>
      <c r="B22" s="3"/>
      <c r="C22" s="194" t="s">
        <v>162</v>
      </c>
      <c r="D22" s="194" t="s">
        <v>146</v>
      </c>
      <c r="E22" s="557" t="s">
        <v>20</v>
      </c>
      <c r="F22" s="557" t="s">
        <v>147</v>
      </c>
      <c r="G22" s="557" t="s">
        <v>148</v>
      </c>
      <c r="H22" s="557" t="s">
        <v>149</v>
      </c>
      <c r="I22" s="557" t="s">
        <v>21</v>
      </c>
      <c r="J22" s="157" t="s">
        <v>25</v>
      </c>
      <c r="K22" s="557" t="s">
        <v>158</v>
      </c>
      <c r="L22" s="557" t="s">
        <v>159</v>
      </c>
      <c r="M22" s="557" t="s">
        <v>160</v>
      </c>
      <c r="N22" s="557" t="s">
        <v>161</v>
      </c>
      <c r="O22" s="254"/>
      <c r="P22" s="79"/>
    </row>
    <row r="23" spans="1:16" ht="14.4" customHeight="1" x14ac:dyDescent="0.3">
      <c r="A23" s="79"/>
      <c r="B23" s="79"/>
      <c r="C23" s="195">
        <f>Results!A26</f>
        <v>0.1111111111111111</v>
      </c>
      <c r="D23" s="84">
        <v>1</v>
      </c>
      <c r="E23" s="58" t="str">
        <f>Results!C26</f>
        <v>Start</v>
      </c>
      <c r="F23" s="58" t="str">
        <f>Results!D26</f>
        <v>to jct 1</v>
      </c>
      <c r="G23" s="844">
        <f>Results!E26</f>
        <v>0</v>
      </c>
      <c r="H23" s="844">
        <f>Results!F26</f>
        <v>5</v>
      </c>
      <c r="I23" s="844">
        <f>Results!G26</f>
        <v>5</v>
      </c>
      <c r="J23" s="581">
        <f>Results!H26</f>
        <v>75</v>
      </c>
      <c r="K23" s="158">
        <f>Results!S26</f>
        <v>-637592.11717116879</v>
      </c>
      <c r="L23" s="553">
        <f>Results!T26</f>
        <v>0.15997761562653004</v>
      </c>
      <c r="M23" s="541">
        <f>Results!U26</f>
        <v>1.386192416053399E-2</v>
      </c>
      <c r="N23" s="553">
        <f>Results!V26</f>
        <v>1.6767095641526888</v>
      </c>
      <c r="O23" s="255"/>
      <c r="P23" s="79"/>
    </row>
    <row r="24" spans="1:16" ht="15" customHeight="1" x14ac:dyDescent="0.3">
      <c r="A24" s="3"/>
      <c r="B24" s="3"/>
      <c r="C24" s="440">
        <f>Results!A27</f>
        <v>0.22222222222222221</v>
      </c>
      <c r="D24" s="269">
        <v>2</v>
      </c>
      <c r="E24" s="58" t="str">
        <f>Results!C27</f>
        <v>from jct 1</v>
      </c>
      <c r="F24" s="58" t="str">
        <f>Results!D27</f>
        <v>to jct 2</v>
      </c>
      <c r="G24" s="844">
        <f>Results!E27</f>
        <v>5</v>
      </c>
      <c r="H24" s="844">
        <f>Results!F27</f>
        <v>15</v>
      </c>
      <c r="I24" s="844">
        <f>Results!G27</f>
        <v>10</v>
      </c>
      <c r="J24" s="581">
        <f>Results!H27</f>
        <v>75</v>
      </c>
      <c r="K24" s="158">
        <f>Results!S27</f>
        <v>-1275184.2343423376</v>
      </c>
      <c r="L24" s="553">
        <f>Results!T27</f>
        <v>0.15997761562653004</v>
      </c>
      <c r="M24" s="541">
        <f>Results!U27</f>
        <v>1.386192416053399E-2</v>
      </c>
      <c r="N24" s="553">
        <f>Results!V27</f>
        <v>3.3534191283053776</v>
      </c>
      <c r="O24" s="255"/>
      <c r="P24" s="3"/>
    </row>
    <row r="25" spans="1:16" ht="15" customHeight="1" x14ac:dyDescent="0.3">
      <c r="A25" s="3"/>
      <c r="B25" s="3"/>
      <c r="C25" s="440">
        <f>Results!A28</f>
        <v>0.22222222222222221</v>
      </c>
      <c r="D25" s="270">
        <v>3</v>
      </c>
      <c r="E25" s="58" t="str">
        <f>Results!C28</f>
        <v>from jct 2</v>
      </c>
      <c r="F25" s="58" t="str">
        <f>Results!D28</f>
        <v>to jct 3</v>
      </c>
      <c r="G25" s="844">
        <f>Results!E28</f>
        <v>15</v>
      </c>
      <c r="H25" s="844">
        <f>Results!F28</f>
        <v>25</v>
      </c>
      <c r="I25" s="844">
        <f>Results!G28</f>
        <v>10</v>
      </c>
      <c r="J25" s="581">
        <f>Results!H28</f>
        <v>75</v>
      </c>
      <c r="K25" s="158">
        <f>Results!S28</f>
        <v>-1275184.2343423376</v>
      </c>
      <c r="L25" s="553">
        <f>Results!T28</f>
        <v>0.15997761562653004</v>
      </c>
      <c r="M25" s="541">
        <f>Results!U28</f>
        <v>1.386192416053399E-2</v>
      </c>
      <c r="N25" s="553">
        <f>Results!V28</f>
        <v>3.3534191283053776</v>
      </c>
      <c r="O25" s="255"/>
      <c r="P25" s="3"/>
    </row>
    <row r="26" spans="1:16" ht="15" customHeight="1" x14ac:dyDescent="0.3">
      <c r="A26" s="3"/>
      <c r="B26" s="3"/>
      <c r="C26" s="440">
        <f>Results!A29</f>
        <v>0.22222222222222221</v>
      </c>
      <c r="D26" s="270">
        <v>4</v>
      </c>
      <c r="E26" s="58" t="str">
        <f>Results!C29</f>
        <v>from jct 3</v>
      </c>
      <c r="F26" s="58" t="str">
        <f>Results!D29</f>
        <v>to jct 4</v>
      </c>
      <c r="G26" s="844">
        <f>Results!E29</f>
        <v>25</v>
      </c>
      <c r="H26" s="844">
        <f>Results!F29</f>
        <v>35</v>
      </c>
      <c r="I26" s="844">
        <f>Results!G29</f>
        <v>10</v>
      </c>
      <c r="J26" s="581">
        <f>Results!H29</f>
        <v>75</v>
      </c>
      <c r="K26" s="158">
        <f>Results!S29</f>
        <v>-1275184.2343423376</v>
      </c>
      <c r="L26" s="553">
        <f>Results!T29</f>
        <v>0.15997761562653004</v>
      </c>
      <c r="M26" s="541">
        <f>Results!U29</f>
        <v>1.386192416053399E-2</v>
      </c>
      <c r="N26" s="553">
        <f>Results!V29</f>
        <v>3.3534191283053776</v>
      </c>
      <c r="O26" s="255"/>
      <c r="P26" s="3"/>
    </row>
    <row r="27" spans="1:16" ht="15" customHeight="1" thickBot="1" x14ac:dyDescent="0.35">
      <c r="A27" s="3"/>
      <c r="B27" s="3"/>
      <c r="C27" s="441">
        <f>Results!A30</f>
        <v>0.22222222222222221</v>
      </c>
      <c r="D27" s="271">
        <v>5</v>
      </c>
      <c r="E27" s="575" t="str">
        <f>Results!C30</f>
        <v>from jct 3</v>
      </c>
      <c r="F27" s="575" t="str">
        <f>Results!D30</f>
        <v>End</v>
      </c>
      <c r="G27" s="42">
        <f>Results!E30</f>
        <v>35</v>
      </c>
      <c r="H27" s="42">
        <f>Results!F30</f>
        <v>45</v>
      </c>
      <c r="I27" s="42">
        <f>Results!G30</f>
        <v>10</v>
      </c>
      <c r="J27" s="576">
        <f>Results!H30</f>
        <v>75</v>
      </c>
      <c r="K27" s="582">
        <f>Results!S30</f>
        <v>-1275184.2343423376</v>
      </c>
      <c r="L27" s="579">
        <f>Results!T30</f>
        <v>0.15997761562653004</v>
      </c>
      <c r="M27" s="540">
        <f>Results!U30</f>
        <v>1.386192416053399E-2</v>
      </c>
      <c r="N27" s="579">
        <f>Results!V30</f>
        <v>3.3534191283053776</v>
      </c>
      <c r="O27" s="255"/>
      <c r="P27" s="3"/>
    </row>
    <row r="28" spans="1:16" ht="15" customHeight="1" x14ac:dyDescent="0.3">
      <c r="A28" s="3"/>
      <c r="B28" s="3"/>
      <c r="C28" s="558"/>
      <c r="D28" s="548"/>
      <c r="E28" s="58"/>
      <c r="F28" s="58"/>
      <c r="G28" s="548"/>
      <c r="H28" s="548"/>
      <c r="I28" s="548"/>
      <c r="J28" s="548"/>
      <c r="K28" s="158"/>
      <c r="L28" s="553"/>
      <c r="M28" s="541"/>
      <c r="N28" s="553"/>
      <c r="O28" s="548"/>
      <c r="P28" s="3"/>
    </row>
    <row r="29" spans="1:16" ht="15" customHeight="1" x14ac:dyDescent="0.3">
      <c r="A29" s="3"/>
      <c r="B29" s="3"/>
      <c r="C29" s="558"/>
      <c r="D29" s="548"/>
      <c r="E29" s="58"/>
      <c r="F29" s="58"/>
      <c r="G29" s="548"/>
      <c r="H29" s="548"/>
      <c r="I29" s="548"/>
      <c r="J29" s="548"/>
      <c r="K29" s="158"/>
      <c r="L29" s="553"/>
      <c r="M29" s="541"/>
      <c r="N29" s="553"/>
      <c r="O29" s="548"/>
      <c r="P29" s="3"/>
    </row>
    <row r="30" spans="1:16" ht="14.4" customHeight="1" x14ac:dyDescent="0.3">
      <c r="A30" s="15"/>
      <c r="B30" s="15"/>
      <c r="C30" s="15"/>
      <c r="D30" s="192"/>
      <c r="E30" s="15"/>
      <c r="F30" s="15"/>
      <c r="G30" s="15"/>
      <c r="H30" s="15"/>
      <c r="I30" s="15"/>
      <c r="J30" s="15"/>
      <c r="K30" s="15"/>
      <c r="L30" s="15"/>
      <c r="M30" s="15"/>
      <c r="N30" s="15"/>
      <c r="O30" s="15"/>
      <c r="P30" s="15"/>
    </row>
    <row r="31" spans="1:16" ht="15" customHeight="1" x14ac:dyDescent="0.3">
      <c r="A31" s="1"/>
      <c r="B31" s="1"/>
      <c r="C31" s="1"/>
      <c r="D31" s="583"/>
      <c r="E31" s="1"/>
      <c r="F31" s="1"/>
      <c r="G31" s="1"/>
      <c r="H31" s="1"/>
      <c r="I31" s="1"/>
      <c r="J31" s="1"/>
      <c r="K31" s="1"/>
      <c r="L31" s="1"/>
      <c r="M31" s="1"/>
      <c r="N31" s="1"/>
      <c r="O31" s="1"/>
      <c r="P31" s="1"/>
    </row>
    <row r="32" spans="1:16" ht="15" customHeight="1" x14ac:dyDescent="0.3">
      <c r="A32" s="3"/>
      <c r="B32" s="589" t="s">
        <v>348</v>
      </c>
      <c r="C32" s="3"/>
      <c r="D32" s="355"/>
      <c r="E32" s="10"/>
      <c r="F32" s="159"/>
      <c r="G32" s="3"/>
      <c r="H32" s="3"/>
      <c r="I32" s="3"/>
      <c r="J32" s="3"/>
      <c r="K32" s="3"/>
      <c r="L32" s="3"/>
      <c r="M32" s="3"/>
      <c r="N32" s="3"/>
      <c r="O32" s="3"/>
      <c r="P32" s="3"/>
    </row>
    <row r="33" spans="1:16" ht="15" customHeight="1" x14ac:dyDescent="0.3">
      <c r="A33" s="3"/>
      <c r="B33" s="594" t="str">
        <f>Overview!$B$7</f>
        <v>Grove Park Drive</v>
      </c>
      <c r="C33" s="3"/>
      <c r="D33" s="155"/>
      <c r="E33" s="10"/>
      <c r="F33" s="159"/>
      <c r="G33" s="3"/>
      <c r="H33" s="3"/>
      <c r="I33" s="3"/>
      <c r="J33" s="3"/>
      <c r="K33" s="3"/>
      <c r="L33" s="3"/>
      <c r="M33" s="3"/>
      <c r="N33" s="3"/>
      <c r="O33" s="3"/>
      <c r="P33" s="3"/>
    </row>
    <row r="34" spans="1:16" ht="15" customHeight="1" x14ac:dyDescent="0.3">
      <c r="A34" s="3"/>
      <c r="B34" s="9"/>
      <c r="C34" s="3"/>
      <c r="D34" s="155"/>
      <c r="E34" s="10"/>
      <c r="F34" s="159"/>
      <c r="G34" s="3"/>
      <c r="H34" s="3"/>
      <c r="I34" s="3"/>
      <c r="J34" s="3"/>
      <c r="K34" s="3"/>
      <c r="L34" s="3"/>
      <c r="M34" s="3"/>
      <c r="N34" s="3"/>
      <c r="O34" s="3"/>
      <c r="P34" s="3"/>
    </row>
    <row r="35" spans="1:16" ht="15" customHeight="1" x14ac:dyDescent="0.3">
      <c r="A35" s="3"/>
      <c r="B35" s="3"/>
      <c r="C35" s="26" t="s">
        <v>145</v>
      </c>
      <c r="D35" s="156"/>
      <c r="E35" s="19"/>
      <c r="F35" s="19"/>
      <c r="G35" s="19"/>
      <c r="H35" s="19"/>
      <c r="I35" s="19"/>
      <c r="J35" s="19"/>
      <c r="K35" s="19"/>
      <c r="L35" s="19"/>
      <c r="M35" s="19"/>
      <c r="N35" s="19"/>
      <c r="O35" s="3"/>
      <c r="P35" s="3"/>
    </row>
    <row r="36" spans="1:16" ht="27" thickBot="1" x14ac:dyDescent="0.35">
      <c r="A36" s="3"/>
      <c r="B36" s="7"/>
      <c r="C36" s="556" t="s">
        <v>162</v>
      </c>
      <c r="D36" s="556" t="s">
        <v>146</v>
      </c>
      <c r="E36" s="556" t="s">
        <v>20</v>
      </c>
      <c r="F36" s="556" t="s">
        <v>147</v>
      </c>
      <c r="G36" s="557" t="s">
        <v>148</v>
      </c>
      <c r="H36" s="557" t="s">
        <v>149</v>
      </c>
      <c r="I36" s="557" t="s">
        <v>21</v>
      </c>
      <c r="J36" s="157" t="s">
        <v>25</v>
      </c>
      <c r="K36" s="556" t="s">
        <v>158</v>
      </c>
      <c r="L36" s="556" t="s">
        <v>159</v>
      </c>
      <c r="M36" s="556" t="s">
        <v>160</v>
      </c>
      <c r="N36" s="556" t="s">
        <v>161</v>
      </c>
      <c r="O36" s="3"/>
      <c r="P36" s="3"/>
    </row>
    <row r="37" spans="1:16" ht="15" customHeight="1" x14ac:dyDescent="0.3">
      <c r="A37" s="3"/>
      <c r="B37" s="3"/>
      <c r="C37" s="470">
        <f>Results!A37</f>
        <v>0</v>
      </c>
      <c r="D37" s="471">
        <v>1</v>
      </c>
      <c r="E37" s="567" t="str">
        <f>Results!C8</f>
        <v>Start</v>
      </c>
      <c r="F37" s="567" t="str">
        <f>Results!D8</f>
        <v>to jct 1</v>
      </c>
      <c r="G37" s="568" t="s">
        <v>74</v>
      </c>
      <c r="H37" s="568" t="s">
        <v>74</v>
      </c>
      <c r="I37" s="568" t="s">
        <v>74</v>
      </c>
      <c r="J37" s="569" t="s">
        <v>74</v>
      </c>
      <c r="K37" s="474">
        <f>'Results Historical Accident'!S8</f>
        <v>-942253.9043141033</v>
      </c>
      <c r="L37" s="475">
        <f>'Results Historical Accident'!T8</f>
        <v>0</v>
      </c>
      <c r="M37" s="545">
        <f>'Results Historical Accident'!U8</f>
        <v>0</v>
      </c>
      <c r="N37" s="570">
        <f>'Results Historical Accident'!V8</f>
        <v>0</v>
      </c>
      <c r="O37" s="3"/>
      <c r="P37" s="3"/>
    </row>
    <row r="38" spans="1:16" ht="15" customHeight="1" x14ac:dyDescent="0.3">
      <c r="A38" s="3"/>
      <c r="B38" s="3"/>
      <c r="C38" s="201">
        <f>Results!A38</f>
        <v>0</v>
      </c>
      <c r="D38" s="206">
        <v>2</v>
      </c>
      <c r="E38" s="571" t="str">
        <f>Results!C9</f>
        <v>from jct 1</v>
      </c>
      <c r="F38" s="571" t="str">
        <f>Results!D9</f>
        <v>to jct 2</v>
      </c>
      <c r="G38" s="572" t="s">
        <v>74</v>
      </c>
      <c r="H38" s="572" t="s">
        <v>74</v>
      </c>
      <c r="I38" s="572" t="s">
        <v>74</v>
      </c>
      <c r="J38" s="573" t="s">
        <v>74</v>
      </c>
      <c r="K38" s="205">
        <f>'Results Historical Accident'!S9</f>
        <v>-1884507.8086282066</v>
      </c>
      <c r="L38" s="283">
        <f>'Results Historical Accident'!T9</f>
        <v>0</v>
      </c>
      <c r="M38" s="544">
        <f>'Results Historical Accident'!U9</f>
        <v>0</v>
      </c>
      <c r="N38" s="574">
        <f>'Results Historical Accident'!V9</f>
        <v>0</v>
      </c>
      <c r="O38" s="3"/>
      <c r="P38" s="3"/>
    </row>
    <row r="39" spans="1:16" ht="15" customHeight="1" x14ac:dyDescent="0.3">
      <c r="A39" s="3"/>
      <c r="B39" s="3"/>
      <c r="C39" s="201">
        <f>Results!A39</f>
        <v>0</v>
      </c>
      <c r="D39" s="206">
        <v>3</v>
      </c>
      <c r="E39" s="571" t="str">
        <f>Results!C10</f>
        <v>from jct 2</v>
      </c>
      <c r="F39" s="571" t="str">
        <f>Results!D10</f>
        <v>to jct 3</v>
      </c>
      <c r="G39" s="572" t="s">
        <v>74</v>
      </c>
      <c r="H39" s="572" t="s">
        <v>74</v>
      </c>
      <c r="I39" s="572" t="s">
        <v>74</v>
      </c>
      <c r="J39" s="573" t="s">
        <v>74</v>
      </c>
      <c r="K39" s="205">
        <f>'Results Historical Accident'!S10</f>
        <v>-1884507.8086282066</v>
      </c>
      <c r="L39" s="283">
        <f>'Results Historical Accident'!T10</f>
        <v>0</v>
      </c>
      <c r="M39" s="544">
        <f>'Results Historical Accident'!U10</f>
        <v>0</v>
      </c>
      <c r="N39" s="574">
        <f>'Results Historical Accident'!V10</f>
        <v>0</v>
      </c>
      <c r="O39" s="3"/>
      <c r="P39" s="3"/>
    </row>
    <row r="40" spans="1:16" ht="15" customHeight="1" x14ac:dyDescent="0.3">
      <c r="A40" s="3"/>
      <c r="B40" s="3"/>
      <c r="C40" s="201">
        <f>Results!A40</f>
        <v>0</v>
      </c>
      <c r="D40" s="206">
        <v>4</v>
      </c>
      <c r="E40" s="571" t="str">
        <f>Results!C11</f>
        <v>from jct 3</v>
      </c>
      <c r="F40" s="571" t="str">
        <f>Results!D11</f>
        <v>to jct 4</v>
      </c>
      <c r="G40" s="572" t="s">
        <v>74</v>
      </c>
      <c r="H40" s="572" t="s">
        <v>74</v>
      </c>
      <c r="I40" s="572" t="s">
        <v>74</v>
      </c>
      <c r="J40" s="573" t="s">
        <v>74</v>
      </c>
      <c r="K40" s="205">
        <f>'Results Historical Accident'!S11</f>
        <v>-1884507.8086282066</v>
      </c>
      <c r="L40" s="283">
        <f>'Results Historical Accident'!T11</f>
        <v>0</v>
      </c>
      <c r="M40" s="544">
        <f>'Results Historical Accident'!U11</f>
        <v>0</v>
      </c>
      <c r="N40" s="574">
        <f>'Results Historical Accident'!V11</f>
        <v>0</v>
      </c>
      <c r="O40" s="3"/>
      <c r="P40" s="3"/>
    </row>
    <row r="41" spans="1:16" ht="15" customHeight="1" thickBot="1" x14ac:dyDescent="0.35">
      <c r="A41" s="3"/>
      <c r="B41" s="3"/>
      <c r="C41" s="208">
        <f>Results!A41</f>
        <v>0</v>
      </c>
      <c r="D41" s="209">
        <v>5</v>
      </c>
      <c r="E41" s="575" t="str">
        <f>Results!C12</f>
        <v>from jct 3</v>
      </c>
      <c r="F41" s="575" t="str">
        <f>Results!D12</f>
        <v>End</v>
      </c>
      <c r="G41" s="42" t="s">
        <v>74</v>
      </c>
      <c r="H41" s="42" t="s">
        <v>74</v>
      </c>
      <c r="I41" s="42" t="s">
        <v>74</v>
      </c>
      <c r="J41" s="576" t="s">
        <v>74</v>
      </c>
      <c r="K41" s="453">
        <f>'Results Historical Accident'!S12</f>
        <v>-1884507.8086282066</v>
      </c>
      <c r="L41" s="285">
        <f>'Results Historical Accident'!T12</f>
        <v>0</v>
      </c>
      <c r="M41" s="543">
        <f>'Results Historical Accident'!U12</f>
        <v>0</v>
      </c>
      <c r="N41" s="577">
        <f>'Results Historical Accident'!V12</f>
        <v>0</v>
      </c>
      <c r="O41" s="3"/>
      <c r="P41" s="3"/>
    </row>
    <row r="42" spans="1:16" ht="15" customHeight="1" x14ac:dyDescent="0.3">
      <c r="A42" s="3"/>
      <c r="B42" s="3"/>
      <c r="C42" s="558"/>
      <c r="D42" s="548"/>
      <c r="E42" s="58"/>
      <c r="F42" s="58"/>
      <c r="G42" s="548"/>
      <c r="H42" s="548"/>
      <c r="I42" s="548"/>
      <c r="J42" s="548"/>
      <c r="K42" s="158"/>
      <c r="L42" s="548"/>
      <c r="M42" s="558"/>
      <c r="N42" s="548"/>
      <c r="O42" s="3"/>
      <c r="P42" s="3"/>
    </row>
    <row r="43" spans="1:16" ht="15" customHeight="1" x14ac:dyDescent="0.3">
      <c r="A43" s="3"/>
      <c r="B43" s="3"/>
      <c r="C43" s="26" t="s">
        <v>179</v>
      </c>
      <c r="D43" s="219"/>
      <c r="E43" s="220"/>
      <c r="F43" s="220"/>
      <c r="G43" s="220"/>
      <c r="H43" s="220"/>
      <c r="I43" s="220"/>
      <c r="J43" s="220"/>
      <c r="K43" s="220"/>
      <c r="L43" s="220"/>
      <c r="M43" s="220"/>
      <c r="N43" s="220"/>
      <c r="O43" s="3"/>
      <c r="P43" s="3"/>
    </row>
    <row r="44" spans="1:16" ht="27" thickBot="1" x14ac:dyDescent="0.35">
      <c r="A44" s="3"/>
      <c r="B44" s="3"/>
      <c r="C44" s="557" t="s">
        <v>162</v>
      </c>
      <c r="D44" s="557" t="s">
        <v>146</v>
      </c>
      <c r="E44" s="557" t="s">
        <v>20</v>
      </c>
      <c r="F44" s="557" t="s">
        <v>147</v>
      </c>
      <c r="G44" s="557" t="s">
        <v>148</v>
      </c>
      <c r="H44" s="557" t="s">
        <v>149</v>
      </c>
      <c r="I44" s="557" t="s">
        <v>21</v>
      </c>
      <c r="J44" s="157" t="s">
        <v>25</v>
      </c>
      <c r="K44" s="557" t="s">
        <v>158</v>
      </c>
      <c r="L44" s="557" t="s">
        <v>159</v>
      </c>
      <c r="M44" s="557" t="s">
        <v>160</v>
      </c>
      <c r="N44" s="557" t="s">
        <v>161</v>
      </c>
      <c r="O44" s="3"/>
      <c r="P44" s="3"/>
    </row>
    <row r="45" spans="1:16" ht="15" customHeight="1" x14ac:dyDescent="0.3">
      <c r="A45" s="3"/>
      <c r="B45" s="3"/>
      <c r="C45" s="201">
        <f>Results!A46</f>
        <v>0</v>
      </c>
      <c r="D45" s="202">
        <v>1</v>
      </c>
      <c r="E45" s="203" t="str">
        <f t="shared" ref="E45:F49" si="0">E37</f>
        <v>Start</v>
      </c>
      <c r="F45" s="203" t="str">
        <f t="shared" si="0"/>
        <v>to jct 1</v>
      </c>
      <c r="G45" s="202" t="s">
        <v>74</v>
      </c>
      <c r="H45" s="202" t="s">
        <v>74</v>
      </c>
      <c r="I45" s="202" t="s">
        <v>74</v>
      </c>
      <c r="J45" s="221" t="s">
        <v>74</v>
      </c>
      <c r="K45" s="205">
        <f>'Results Historical Accident'!S17</f>
        <v>-664692.96991066192</v>
      </c>
      <c r="L45" s="283">
        <f>'Results Historical Accident'!T17</f>
        <v>0</v>
      </c>
      <c r="M45" s="578">
        <f>'Results Historical Accident'!U17</f>
        <v>0</v>
      </c>
      <c r="N45" s="574">
        <f>'Results Historical Accident'!V17</f>
        <v>0</v>
      </c>
      <c r="O45" s="3"/>
      <c r="P45" s="3"/>
    </row>
    <row r="46" spans="1:16" ht="15" customHeight="1" x14ac:dyDescent="0.3">
      <c r="A46" s="3"/>
      <c r="B46" s="3"/>
      <c r="C46" s="201">
        <f>Results!A47</f>
        <v>0</v>
      </c>
      <c r="D46" s="206">
        <v>2</v>
      </c>
      <c r="E46" s="203" t="str">
        <f t="shared" si="0"/>
        <v>from jct 1</v>
      </c>
      <c r="F46" s="203" t="str">
        <f t="shared" si="0"/>
        <v>to jct 2</v>
      </c>
      <c r="G46" s="202" t="s">
        <v>74</v>
      </c>
      <c r="H46" s="202" t="s">
        <v>74</v>
      </c>
      <c r="I46" s="202" t="s">
        <v>74</v>
      </c>
      <c r="J46" s="221" t="s">
        <v>74</v>
      </c>
      <c r="K46" s="205">
        <f>'Results Historical Accident'!S18</f>
        <v>-1329385.9398213238</v>
      </c>
      <c r="L46" s="283">
        <f>'Results Historical Accident'!T18</f>
        <v>0</v>
      </c>
      <c r="M46" s="558">
        <f>'Results Historical Accident'!U18</f>
        <v>0</v>
      </c>
      <c r="N46" s="574">
        <f>'Results Historical Accident'!V18</f>
        <v>0</v>
      </c>
      <c r="O46" s="3"/>
      <c r="P46" s="3"/>
    </row>
    <row r="47" spans="1:16" ht="15" customHeight="1" x14ac:dyDescent="0.3">
      <c r="A47" s="3"/>
      <c r="B47" s="3"/>
      <c r="C47" s="201">
        <f>Results!A48</f>
        <v>0</v>
      </c>
      <c r="D47" s="206">
        <v>3</v>
      </c>
      <c r="E47" s="203" t="str">
        <f t="shared" si="0"/>
        <v>from jct 2</v>
      </c>
      <c r="F47" s="203" t="str">
        <f t="shared" si="0"/>
        <v>to jct 3</v>
      </c>
      <c r="G47" s="202" t="s">
        <v>74</v>
      </c>
      <c r="H47" s="202" t="s">
        <v>74</v>
      </c>
      <c r="I47" s="202" t="s">
        <v>74</v>
      </c>
      <c r="J47" s="221" t="s">
        <v>74</v>
      </c>
      <c r="K47" s="205">
        <f>'Results Historical Accident'!S19</f>
        <v>-1329385.9398213238</v>
      </c>
      <c r="L47" s="283">
        <f>'Results Historical Accident'!T19</f>
        <v>0</v>
      </c>
      <c r="M47" s="558">
        <f>'Results Historical Accident'!U19</f>
        <v>0</v>
      </c>
      <c r="N47" s="574">
        <f>'Results Historical Accident'!V19</f>
        <v>0</v>
      </c>
      <c r="O47" s="3"/>
      <c r="P47" s="3"/>
    </row>
    <row r="48" spans="1:16" ht="15" customHeight="1" x14ac:dyDescent="0.3">
      <c r="A48" s="3"/>
      <c r="B48" s="3"/>
      <c r="C48" s="201">
        <f>Results!A49</f>
        <v>0</v>
      </c>
      <c r="D48" s="206">
        <v>4</v>
      </c>
      <c r="E48" s="203" t="str">
        <f t="shared" si="0"/>
        <v>from jct 3</v>
      </c>
      <c r="F48" s="203" t="str">
        <f t="shared" si="0"/>
        <v>to jct 4</v>
      </c>
      <c r="G48" s="202" t="s">
        <v>74</v>
      </c>
      <c r="H48" s="202" t="s">
        <v>74</v>
      </c>
      <c r="I48" s="202" t="s">
        <v>74</v>
      </c>
      <c r="J48" s="221" t="s">
        <v>74</v>
      </c>
      <c r="K48" s="205">
        <f>'Results Historical Accident'!S20</f>
        <v>-1329385.9398213238</v>
      </c>
      <c r="L48" s="283">
        <f>'Results Historical Accident'!T20</f>
        <v>0</v>
      </c>
      <c r="M48" s="558">
        <f>'Results Historical Accident'!U20</f>
        <v>0</v>
      </c>
      <c r="N48" s="574">
        <f>'Results Historical Accident'!V20</f>
        <v>0</v>
      </c>
      <c r="O48" s="3"/>
      <c r="P48" s="3"/>
    </row>
    <row r="49" spans="1:16" ht="15" customHeight="1" thickBot="1" x14ac:dyDescent="0.35">
      <c r="A49" s="3"/>
      <c r="B49" s="3"/>
      <c r="C49" s="468">
        <f>Results!A50</f>
        <v>0</v>
      </c>
      <c r="D49" s="209">
        <v>5</v>
      </c>
      <c r="E49" s="212" t="str">
        <f t="shared" si="0"/>
        <v>from jct 3</v>
      </c>
      <c r="F49" s="212" t="str">
        <f t="shared" si="0"/>
        <v>End</v>
      </c>
      <c r="G49" s="209" t="s">
        <v>74</v>
      </c>
      <c r="H49" s="209" t="s">
        <v>74</v>
      </c>
      <c r="I49" s="209" t="s">
        <v>74</v>
      </c>
      <c r="J49" s="222" t="s">
        <v>74</v>
      </c>
      <c r="K49" s="453">
        <f>'Results Historical Accident'!S21</f>
        <v>-1329385.9398213238</v>
      </c>
      <c r="L49" s="579">
        <f>'Results Historical Accident'!T21</f>
        <v>0</v>
      </c>
      <c r="M49" s="555">
        <f>'Results Historical Accident'!U21</f>
        <v>0</v>
      </c>
      <c r="N49" s="580">
        <f>'Results Historical Accident'!V21</f>
        <v>0</v>
      </c>
      <c r="O49" s="3"/>
      <c r="P49" s="3"/>
    </row>
    <row r="50" spans="1:16" ht="15" customHeight="1" x14ac:dyDescent="0.3">
      <c r="A50" s="3"/>
      <c r="B50" s="3"/>
      <c r="C50" s="558"/>
      <c r="D50" s="548"/>
      <c r="E50" s="58"/>
      <c r="F50" s="58"/>
      <c r="G50" s="548"/>
      <c r="H50" s="548"/>
      <c r="I50" s="548"/>
      <c r="J50" s="548"/>
      <c r="K50" s="158"/>
      <c r="L50" s="548"/>
      <c r="M50" s="558"/>
      <c r="N50" s="548"/>
      <c r="O50" s="3"/>
      <c r="P50" s="3"/>
    </row>
    <row r="51" spans="1:16" ht="15" customHeight="1" x14ac:dyDescent="0.3">
      <c r="A51" s="3"/>
      <c r="B51" s="3"/>
      <c r="C51" s="26" t="s">
        <v>180</v>
      </c>
      <c r="D51" s="548"/>
      <c r="E51" s="58"/>
      <c r="F51" s="58"/>
      <c r="G51" s="548"/>
      <c r="H51" s="548"/>
      <c r="I51" s="548"/>
      <c r="J51" s="548"/>
      <c r="K51" s="158"/>
      <c r="L51" s="548"/>
      <c r="M51" s="558"/>
      <c r="N51" s="548"/>
      <c r="O51" s="3"/>
      <c r="P51" s="3"/>
    </row>
    <row r="52" spans="1:16" ht="27" thickBot="1" x14ac:dyDescent="0.35">
      <c r="A52" s="3"/>
      <c r="B52" s="3"/>
      <c r="C52" s="557" t="s">
        <v>162</v>
      </c>
      <c r="D52" s="557" t="s">
        <v>146</v>
      </c>
      <c r="E52" s="557" t="s">
        <v>20</v>
      </c>
      <c r="F52" s="557" t="s">
        <v>147</v>
      </c>
      <c r="G52" s="557" t="s">
        <v>148</v>
      </c>
      <c r="H52" s="557" t="s">
        <v>149</v>
      </c>
      <c r="I52" s="557" t="s">
        <v>21</v>
      </c>
      <c r="J52" s="157" t="s">
        <v>25</v>
      </c>
      <c r="K52" s="557" t="s">
        <v>158</v>
      </c>
      <c r="L52" s="557" t="s">
        <v>159</v>
      </c>
      <c r="M52" s="557" t="s">
        <v>160</v>
      </c>
      <c r="N52" s="557" t="s">
        <v>161</v>
      </c>
      <c r="O52" s="3"/>
      <c r="P52" s="3"/>
    </row>
    <row r="53" spans="1:16" ht="15" customHeight="1" x14ac:dyDescent="0.3">
      <c r="A53" s="3"/>
      <c r="B53" s="79"/>
      <c r="C53" s="558">
        <f>Results!A55</f>
        <v>0</v>
      </c>
      <c r="D53" s="548">
        <v>1</v>
      </c>
      <c r="E53" s="58" t="str">
        <f t="shared" ref="E53:F57" si="1">E37</f>
        <v>Start</v>
      </c>
      <c r="F53" s="58" t="str">
        <f t="shared" si="1"/>
        <v>to jct 1</v>
      </c>
      <c r="G53" s="548" t="s">
        <v>74</v>
      </c>
      <c r="H53" s="548" t="s">
        <v>74</v>
      </c>
      <c r="I53" s="548" t="s">
        <v>74</v>
      </c>
      <c r="J53" s="581" t="s">
        <v>74</v>
      </c>
      <c r="K53" s="158">
        <f>'Results Historical Accident'!S26</f>
        <v>-790034.26713698497</v>
      </c>
      <c r="L53" s="553">
        <f>'Results Historical Accident'!T26</f>
        <v>0</v>
      </c>
      <c r="M53" s="558">
        <f>'Results Historical Accident'!U26</f>
        <v>0</v>
      </c>
      <c r="N53" s="553">
        <f>'Results Historical Accident'!V26</f>
        <v>0</v>
      </c>
      <c r="O53" s="3"/>
      <c r="P53" s="3"/>
    </row>
    <row r="54" spans="1:16" ht="15" customHeight="1" x14ac:dyDescent="0.3">
      <c r="A54" s="3"/>
      <c r="B54" s="3"/>
      <c r="C54" s="558">
        <f>Results!A56</f>
        <v>0</v>
      </c>
      <c r="D54" s="202">
        <v>2</v>
      </c>
      <c r="E54" s="58" t="str">
        <f t="shared" si="1"/>
        <v>from jct 1</v>
      </c>
      <c r="F54" s="58" t="str">
        <f t="shared" si="1"/>
        <v>to jct 2</v>
      </c>
      <c r="G54" s="548" t="s">
        <v>74</v>
      </c>
      <c r="H54" s="548" t="s">
        <v>74</v>
      </c>
      <c r="I54" s="548" t="s">
        <v>74</v>
      </c>
      <c r="J54" s="581" t="s">
        <v>74</v>
      </c>
      <c r="K54" s="158">
        <f>'Results Historical Accident'!S27</f>
        <v>-1580068.5342739699</v>
      </c>
      <c r="L54" s="553">
        <f>'Results Historical Accident'!T27</f>
        <v>0</v>
      </c>
      <c r="M54" s="558">
        <f>'Results Historical Accident'!U27</f>
        <v>0</v>
      </c>
      <c r="N54" s="553">
        <f>'Results Historical Accident'!V27</f>
        <v>0</v>
      </c>
      <c r="O54" s="3"/>
      <c r="P54" s="3"/>
    </row>
    <row r="55" spans="1:16" ht="15" customHeight="1" x14ac:dyDescent="0.3">
      <c r="A55" s="3"/>
      <c r="B55" s="3"/>
      <c r="C55" s="558">
        <f>Results!A57</f>
        <v>0</v>
      </c>
      <c r="D55" s="206">
        <v>3</v>
      </c>
      <c r="E55" s="58" t="str">
        <f t="shared" si="1"/>
        <v>from jct 2</v>
      </c>
      <c r="F55" s="58" t="str">
        <f t="shared" si="1"/>
        <v>to jct 3</v>
      </c>
      <c r="G55" s="548" t="s">
        <v>74</v>
      </c>
      <c r="H55" s="548" t="s">
        <v>74</v>
      </c>
      <c r="I55" s="548" t="s">
        <v>74</v>
      </c>
      <c r="J55" s="581" t="s">
        <v>74</v>
      </c>
      <c r="K55" s="158">
        <f>'Results Historical Accident'!S28</f>
        <v>-1580068.5342739699</v>
      </c>
      <c r="L55" s="553">
        <f>'Results Historical Accident'!T28</f>
        <v>0</v>
      </c>
      <c r="M55" s="558">
        <f>'Results Historical Accident'!U28</f>
        <v>0</v>
      </c>
      <c r="N55" s="553">
        <f>'Results Historical Accident'!V28</f>
        <v>0</v>
      </c>
      <c r="O55" s="3"/>
      <c r="P55" s="3"/>
    </row>
    <row r="56" spans="1:16" ht="15" customHeight="1" x14ac:dyDescent="0.3">
      <c r="A56" s="3"/>
      <c r="B56" s="3"/>
      <c r="C56" s="558">
        <f>Results!A58</f>
        <v>0</v>
      </c>
      <c r="D56" s="206">
        <v>4</v>
      </c>
      <c r="E56" s="58" t="str">
        <f t="shared" si="1"/>
        <v>from jct 3</v>
      </c>
      <c r="F56" s="58" t="str">
        <f t="shared" si="1"/>
        <v>to jct 4</v>
      </c>
      <c r="G56" s="548" t="s">
        <v>74</v>
      </c>
      <c r="H56" s="548" t="s">
        <v>74</v>
      </c>
      <c r="I56" s="548" t="s">
        <v>74</v>
      </c>
      <c r="J56" s="581" t="s">
        <v>74</v>
      </c>
      <c r="K56" s="158">
        <f>'Results Historical Accident'!S29</f>
        <v>-1580068.5342739699</v>
      </c>
      <c r="L56" s="553">
        <f>'Results Historical Accident'!T29</f>
        <v>0</v>
      </c>
      <c r="M56" s="558">
        <f>'Results Historical Accident'!U29</f>
        <v>0</v>
      </c>
      <c r="N56" s="553">
        <f>'Results Historical Accident'!V29</f>
        <v>0</v>
      </c>
      <c r="O56" s="3"/>
      <c r="P56" s="3"/>
    </row>
    <row r="57" spans="1:16" ht="15" customHeight="1" thickBot="1" x14ac:dyDescent="0.35">
      <c r="A57" s="3"/>
      <c r="B57" s="3"/>
      <c r="C57" s="555">
        <f>Results!A59</f>
        <v>0</v>
      </c>
      <c r="D57" s="209">
        <v>5</v>
      </c>
      <c r="E57" s="575" t="str">
        <f t="shared" si="1"/>
        <v>from jct 3</v>
      </c>
      <c r="F57" s="575" t="str">
        <f t="shared" si="1"/>
        <v>End</v>
      </c>
      <c r="G57" s="42" t="s">
        <v>74</v>
      </c>
      <c r="H57" s="42" t="s">
        <v>74</v>
      </c>
      <c r="I57" s="42" t="s">
        <v>74</v>
      </c>
      <c r="J57" s="576" t="s">
        <v>74</v>
      </c>
      <c r="K57" s="582">
        <f>'Results Historical Accident'!S30</f>
        <v>-1580068.5342739699</v>
      </c>
      <c r="L57" s="579">
        <f>'Results Historical Accident'!T30</f>
        <v>0</v>
      </c>
      <c r="M57" s="555">
        <f>'Results Historical Accident'!U30</f>
        <v>0</v>
      </c>
      <c r="N57" s="579">
        <f>'Results Historical Accident'!V30</f>
        <v>0</v>
      </c>
      <c r="O57" s="3"/>
      <c r="P57" s="3"/>
    </row>
    <row r="58" spans="1:16" ht="15" customHeight="1" x14ac:dyDescent="0.3">
      <c r="A58" s="3"/>
      <c r="B58" s="3"/>
      <c r="C58" s="3"/>
      <c r="D58" s="552"/>
      <c r="E58" s="3"/>
      <c r="F58" s="3"/>
      <c r="G58" s="3"/>
      <c r="H58" s="3"/>
      <c r="I58" s="3"/>
      <c r="J58" s="3"/>
      <c r="K58" s="3"/>
      <c r="L58" s="3"/>
      <c r="M58" s="3"/>
      <c r="N58" s="3"/>
      <c r="O58" s="3"/>
      <c r="P58" s="3"/>
    </row>
    <row r="59" spans="1:16" ht="24.6" customHeight="1" x14ac:dyDescent="0.3">
      <c r="A59" s="15"/>
      <c r="B59" s="15"/>
      <c r="C59" s="15"/>
      <c r="D59" s="869"/>
      <c r="E59" s="15"/>
      <c r="F59" s="15"/>
      <c r="G59" s="15"/>
      <c r="H59" s="15"/>
      <c r="I59" s="15"/>
      <c r="J59" s="15"/>
      <c r="K59" s="15"/>
      <c r="L59" s="15"/>
      <c r="M59" s="15"/>
      <c r="N59" s="15"/>
      <c r="O59" s="15"/>
      <c r="P59" s="15"/>
    </row>
  </sheetData>
  <dataValidations disablePrompts="1" count="4">
    <dataValidation allowBlank="1" showInputMessage="1" showErrorMessage="1" prompt="53.347901" sqref="IZ65439 SV65439 ACR65439 AMN65439 AWJ65439 BGF65439 BQB65439 BZX65439 CJT65439 CTP65439 DDL65439 DNH65439 DXD65439 EGZ65439 EQV65439 FAR65439 FKN65439 FUJ65439 GEF65439 GOB65439 GXX65439 HHT65439 HRP65439 IBL65439 ILH65439 IVD65439 JEZ65439 JOV65439 JYR65439 KIN65439 KSJ65439 LCF65439 LMB65439 LVX65439 MFT65439 MPP65439 MZL65439 NJH65439 NTD65439 OCZ65439 OMV65439 OWR65439 PGN65439 PQJ65439 QAF65439 QKB65439 QTX65439 RDT65439 RNP65439 RXL65439 SHH65439 SRD65439 TAZ65439 TKV65439 TUR65439 UEN65439 UOJ65439 UYF65439 VIB65439 VRX65439 WBT65439 WLP65439 WVL65439 IZ130975 SV130975 ACR130975 AMN130975 AWJ130975 BGF130975 BQB130975 BZX130975 CJT130975 CTP130975 DDL130975 DNH130975 DXD130975 EGZ130975 EQV130975 FAR130975 FKN130975 FUJ130975 GEF130975 GOB130975 GXX130975 HHT130975 HRP130975 IBL130975 ILH130975 IVD130975 JEZ130975 JOV130975 JYR130975 KIN130975 KSJ130975 LCF130975 LMB130975 LVX130975 MFT130975 MPP130975 MZL130975 NJH130975 NTD130975 OCZ130975 OMV130975 OWR130975 PGN130975 PQJ130975 QAF130975 QKB130975 QTX130975 RDT130975 RNP130975 RXL130975 SHH130975 SRD130975 TAZ130975 TKV130975 TUR130975 UEN130975 UOJ130975 UYF130975 VIB130975 VRX130975 WBT130975 WLP130975 WVL130975 IZ196511 SV196511 ACR196511 AMN196511 AWJ196511 BGF196511 BQB196511 BZX196511 CJT196511 CTP196511 DDL196511 DNH196511 DXD196511 EGZ196511 EQV196511 FAR196511 FKN196511 FUJ196511 GEF196511 GOB196511 GXX196511 HHT196511 HRP196511 IBL196511 ILH196511 IVD196511 JEZ196511 JOV196511 JYR196511 KIN196511 KSJ196511 LCF196511 LMB196511 LVX196511 MFT196511 MPP196511 MZL196511 NJH196511 NTD196511 OCZ196511 OMV196511 OWR196511 PGN196511 PQJ196511 QAF196511 QKB196511 QTX196511 RDT196511 RNP196511 RXL196511 SHH196511 SRD196511 TAZ196511 TKV196511 TUR196511 UEN196511 UOJ196511 UYF196511 VIB196511 VRX196511 WBT196511 WLP196511 WVL196511 IZ262047 SV262047 ACR262047 AMN262047 AWJ262047 BGF262047 BQB262047 BZX262047 CJT262047 CTP262047 DDL262047 DNH262047 DXD262047 EGZ262047 EQV262047 FAR262047 FKN262047 FUJ262047 GEF262047 GOB262047 GXX262047 HHT262047 HRP262047 IBL262047 ILH262047 IVD262047 JEZ262047 JOV262047 JYR262047 KIN262047 KSJ262047 LCF262047 LMB262047 LVX262047 MFT262047 MPP262047 MZL262047 NJH262047 NTD262047 OCZ262047 OMV262047 OWR262047 PGN262047 PQJ262047 QAF262047 QKB262047 QTX262047 RDT262047 RNP262047 RXL262047 SHH262047 SRD262047 TAZ262047 TKV262047 TUR262047 UEN262047 UOJ262047 UYF262047 VIB262047 VRX262047 WBT262047 WLP262047 WVL262047 IZ327583 SV327583 ACR327583 AMN327583 AWJ327583 BGF327583 BQB327583 BZX327583 CJT327583 CTP327583 DDL327583 DNH327583 DXD327583 EGZ327583 EQV327583 FAR327583 FKN327583 FUJ327583 GEF327583 GOB327583 GXX327583 HHT327583 HRP327583 IBL327583 ILH327583 IVD327583 JEZ327583 JOV327583 JYR327583 KIN327583 KSJ327583 LCF327583 LMB327583 LVX327583 MFT327583 MPP327583 MZL327583 NJH327583 NTD327583 OCZ327583 OMV327583 OWR327583 PGN327583 PQJ327583 QAF327583 QKB327583 QTX327583 RDT327583 RNP327583 RXL327583 SHH327583 SRD327583 TAZ327583 TKV327583 TUR327583 UEN327583 UOJ327583 UYF327583 VIB327583 VRX327583 WBT327583 WLP327583 WVL327583 IZ393119 SV393119 ACR393119 AMN393119 AWJ393119 BGF393119 BQB393119 BZX393119 CJT393119 CTP393119 DDL393119 DNH393119 DXD393119 EGZ393119 EQV393119 FAR393119 FKN393119 FUJ393119 GEF393119 GOB393119 GXX393119 HHT393119 HRP393119 IBL393119 ILH393119 IVD393119 JEZ393119 JOV393119 JYR393119 KIN393119 KSJ393119 LCF393119 LMB393119 LVX393119 MFT393119 MPP393119 MZL393119 NJH393119 NTD393119 OCZ393119 OMV393119 OWR393119 PGN393119 PQJ393119 QAF393119 QKB393119 QTX393119 RDT393119 RNP393119 RXL393119 SHH393119 SRD393119 TAZ393119 TKV393119 TUR393119 UEN393119 UOJ393119 UYF393119 VIB393119 VRX393119 WBT393119 WLP393119 WVL393119 IZ458655 SV458655 ACR458655 AMN458655 AWJ458655 BGF458655 BQB458655 BZX458655 CJT458655 CTP458655 DDL458655 DNH458655 DXD458655 EGZ458655 EQV458655 FAR458655 FKN458655 FUJ458655 GEF458655 GOB458655 GXX458655 HHT458655 HRP458655 IBL458655 ILH458655 IVD458655 JEZ458655 JOV458655 JYR458655 KIN458655 KSJ458655 LCF458655 LMB458655 LVX458655 MFT458655 MPP458655 MZL458655 NJH458655 NTD458655 OCZ458655 OMV458655 OWR458655 PGN458655 PQJ458655 QAF458655 QKB458655 QTX458655 RDT458655 RNP458655 RXL458655 SHH458655 SRD458655 TAZ458655 TKV458655 TUR458655 UEN458655 UOJ458655 UYF458655 VIB458655 VRX458655 WBT458655 WLP458655 WVL458655 IZ524191 SV524191 ACR524191 AMN524191 AWJ524191 BGF524191 BQB524191 BZX524191 CJT524191 CTP524191 DDL524191 DNH524191 DXD524191 EGZ524191 EQV524191 FAR524191 FKN524191 FUJ524191 GEF524191 GOB524191 GXX524191 HHT524191 HRP524191 IBL524191 ILH524191 IVD524191 JEZ524191 JOV524191 JYR524191 KIN524191 KSJ524191 LCF524191 LMB524191 LVX524191 MFT524191 MPP524191 MZL524191 NJH524191 NTD524191 OCZ524191 OMV524191 OWR524191 PGN524191 PQJ524191 QAF524191 QKB524191 QTX524191 RDT524191 RNP524191 RXL524191 SHH524191 SRD524191 TAZ524191 TKV524191 TUR524191 UEN524191 UOJ524191 UYF524191 VIB524191 VRX524191 WBT524191 WLP524191 WVL524191 IZ589727 SV589727 ACR589727 AMN589727 AWJ589727 BGF589727 BQB589727 BZX589727 CJT589727 CTP589727 DDL589727 DNH589727 DXD589727 EGZ589727 EQV589727 FAR589727 FKN589727 FUJ589727 GEF589727 GOB589727 GXX589727 HHT589727 HRP589727 IBL589727 ILH589727 IVD589727 JEZ589727 JOV589727 JYR589727 KIN589727 KSJ589727 LCF589727 LMB589727 LVX589727 MFT589727 MPP589727 MZL589727 NJH589727 NTD589727 OCZ589727 OMV589727 OWR589727 PGN589727 PQJ589727 QAF589727 QKB589727 QTX589727 RDT589727 RNP589727 RXL589727 SHH589727 SRD589727 TAZ589727 TKV589727 TUR589727 UEN589727 UOJ589727 UYF589727 VIB589727 VRX589727 WBT589727 WLP589727 WVL589727 IZ655263 SV655263 ACR655263 AMN655263 AWJ655263 BGF655263 BQB655263 BZX655263 CJT655263 CTP655263 DDL655263 DNH655263 DXD655263 EGZ655263 EQV655263 FAR655263 FKN655263 FUJ655263 GEF655263 GOB655263 GXX655263 HHT655263 HRP655263 IBL655263 ILH655263 IVD655263 JEZ655263 JOV655263 JYR655263 KIN655263 KSJ655263 LCF655263 LMB655263 LVX655263 MFT655263 MPP655263 MZL655263 NJH655263 NTD655263 OCZ655263 OMV655263 OWR655263 PGN655263 PQJ655263 QAF655263 QKB655263 QTX655263 RDT655263 RNP655263 RXL655263 SHH655263 SRD655263 TAZ655263 TKV655263 TUR655263 UEN655263 UOJ655263 UYF655263 VIB655263 VRX655263 WBT655263 WLP655263 WVL655263 IZ720799 SV720799 ACR720799 AMN720799 AWJ720799 BGF720799 BQB720799 BZX720799 CJT720799 CTP720799 DDL720799 DNH720799 DXD720799 EGZ720799 EQV720799 FAR720799 FKN720799 FUJ720799 GEF720799 GOB720799 GXX720799 HHT720799 HRP720799 IBL720799 ILH720799 IVD720799 JEZ720799 JOV720799 JYR720799 KIN720799 KSJ720799 LCF720799 LMB720799 LVX720799 MFT720799 MPP720799 MZL720799 NJH720799 NTD720799 OCZ720799 OMV720799 OWR720799 PGN720799 PQJ720799 QAF720799 QKB720799 QTX720799 RDT720799 RNP720799 RXL720799 SHH720799 SRD720799 TAZ720799 TKV720799 TUR720799 UEN720799 UOJ720799 UYF720799 VIB720799 VRX720799 WBT720799 WLP720799 WVL720799 IZ786335 SV786335 ACR786335 AMN786335 AWJ786335 BGF786335 BQB786335 BZX786335 CJT786335 CTP786335 DDL786335 DNH786335 DXD786335 EGZ786335 EQV786335 FAR786335 FKN786335 FUJ786335 GEF786335 GOB786335 GXX786335 HHT786335 HRP786335 IBL786335 ILH786335 IVD786335 JEZ786335 JOV786335 JYR786335 KIN786335 KSJ786335 LCF786335 LMB786335 LVX786335 MFT786335 MPP786335 MZL786335 NJH786335 NTD786335 OCZ786335 OMV786335 OWR786335 PGN786335 PQJ786335 QAF786335 QKB786335 QTX786335 RDT786335 RNP786335 RXL786335 SHH786335 SRD786335 TAZ786335 TKV786335 TUR786335 UEN786335 UOJ786335 UYF786335 VIB786335 VRX786335 WBT786335 WLP786335 WVL786335 IZ851871 SV851871 ACR851871 AMN851871 AWJ851871 BGF851871 BQB851871 BZX851871 CJT851871 CTP851871 DDL851871 DNH851871 DXD851871 EGZ851871 EQV851871 FAR851871 FKN851871 FUJ851871 GEF851871 GOB851871 GXX851871 HHT851871 HRP851871 IBL851871 ILH851871 IVD851871 JEZ851871 JOV851871 JYR851871 KIN851871 KSJ851871 LCF851871 LMB851871 LVX851871 MFT851871 MPP851871 MZL851871 NJH851871 NTD851871 OCZ851871 OMV851871 OWR851871 PGN851871 PQJ851871 QAF851871 QKB851871 QTX851871 RDT851871 RNP851871 RXL851871 SHH851871 SRD851871 TAZ851871 TKV851871 TUR851871 UEN851871 UOJ851871 UYF851871 VIB851871 VRX851871 WBT851871 WLP851871 WVL851871 IZ917407 SV917407 ACR917407 AMN917407 AWJ917407 BGF917407 BQB917407 BZX917407 CJT917407 CTP917407 DDL917407 DNH917407 DXD917407 EGZ917407 EQV917407 FAR917407 FKN917407 FUJ917407 GEF917407 GOB917407 GXX917407 HHT917407 HRP917407 IBL917407 ILH917407 IVD917407 JEZ917407 JOV917407 JYR917407 KIN917407 KSJ917407 LCF917407 LMB917407 LVX917407 MFT917407 MPP917407 MZL917407 NJH917407 NTD917407 OCZ917407 OMV917407 OWR917407 PGN917407 PQJ917407 QAF917407 QKB917407 QTX917407 RDT917407 RNP917407 RXL917407 SHH917407 SRD917407 TAZ917407 TKV917407 TUR917407 UEN917407 UOJ917407 UYF917407 VIB917407 VRX917407 WBT917407 WLP917407 WVL917407 IZ982943 SV982943 ACR982943 AMN982943 AWJ982943 BGF982943 BQB982943 BZX982943 CJT982943 CTP982943 DDL982943 DNH982943 DXD982943 EGZ982943 EQV982943 FAR982943 FKN982943 FUJ982943 GEF982943 GOB982943 GXX982943 HHT982943 HRP982943 IBL982943 ILH982943 IVD982943 JEZ982943 JOV982943 JYR982943 KIN982943 KSJ982943 LCF982943 LMB982943 LVX982943 MFT982943 MPP982943 MZL982943 NJH982943 NTD982943 OCZ982943 OMV982943 OWR982943 PGN982943 PQJ982943 QAF982943 QKB982943 QTX982943 RDT982943 RNP982943 RXL982943 SHH982943 SRD982943 TAZ982943 TKV982943 TUR982943 UEN982943 UOJ982943 UYF982943 VIB982943 VRX982943 WBT982943 WLP982943 WVL982943"/>
    <dataValidation allowBlank="1" showInputMessage="1" showErrorMessage="1" prompt="-6.294484" sqref="JB65439 SX65439 ACT65439 AMP65439 AWL65439 BGH65439 BQD65439 BZZ65439 CJV65439 CTR65439 DDN65439 DNJ65439 DXF65439 EHB65439 EQX65439 FAT65439 FKP65439 FUL65439 GEH65439 GOD65439 GXZ65439 HHV65439 HRR65439 IBN65439 ILJ65439 IVF65439 JFB65439 JOX65439 JYT65439 KIP65439 KSL65439 LCH65439 LMD65439 LVZ65439 MFV65439 MPR65439 MZN65439 NJJ65439 NTF65439 ODB65439 OMX65439 OWT65439 PGP65439 PQL65439 QAH65439 QKD65439 QTZ65439 RDV65439 RNR65439 RXN65439 SHJ65439 SRF65439 TBB65439 TKX65439 TUT65439 UEP65439 UOL65439 UYH65439 VID65439 VRZ65439 WBV65439 WLR65439 WVN65439 JB130975 SX130975 ACT130975 AMP130975 AWL130975 BGH130975 BQD130975 BZZ130975 CJV130975 CTR130975 DDN130975 DNJ130975 DXF130975 EHB130975 EQX130975 FAT130975 FKP130975 FUL130975 GEH130975 GOD130975 GXZ130975 HHV130975 HRR130975 IBN130975 ILJ130975 IVF130975 JFB130975 JOX130975 JYT130975 KIP130975 KSL130975 LCH130975 LMD130975 LVZ130975 MFV130975 MPR130975 MZN130975 NJJ130975 NTF130975 ODB130975 OMX130975 OWT130975 PGP130975 PQL130975 QAH130975 QKD130975 QTZ130975 RDV130975 RNR130975 RXN130975 SHJ130975 SRF130975 TBB130975 TKX130975 TUT130975 UEP130975 UOL130975 UYH130975 VID130975 VRZ130975 WBV130975 WLR130975 WVN130975 JB196511 SX196511 ACT196511 AMP196511 AWL196511 BGH196511 BQD196511 BZZ196511 CJV196511 CTR196511 DDN196511 DNJ196511 DXF196511 EHB196511 EQX196511 FAT196511 FKP196511 FUL196511 GEH196511 GOD196511 GXZ196511 HHV196511 HRR196511 IBN196511 ILJ196511 IVF196511 JFB196511 JOX196511 JYT196511 KIP196511 KSL196511 LCH196511 LMD196511 LVZ196511 MFV196511 MPR196511 MZN196511 NJJ196511 NTF196511 ODB196511 OMX196511 OWT196511 PGP196511 PQL196511 QAH196511 QKD196511 QTZ196511 RDV196511 RNR196511 RXN196511 SHJ196511 SRF196511 TBB196511 TKX196511 TUT196511 UEP196511 UOL196511 UYH196511 VID196511 VRZ196511 WBV196511 WLR196511 WVN196511 JB262047 SX262047 ACT262047 AMP262047 AWL262047 BGH262047 BQD262047 BZZ262047 CJV262047 CTR262047 DDN262047 DNJ262047 DXF262047 EHB262047 EQX262047 FAT262047 FKP262047 FUL262047 GEH262047 GOD262047 GXZ262047 HHV262047 HRR262047 IBN262047 ILJ262047 IVF262047 JFB262047 JOX262047 JYT262047 KIP262047 KSL262047 LCH262047 LMD262047 LVZ262047 MFV262047 MPR262047 MZN262047 NJJ262047 NTF262047 ODB262047 OMX262047 OWT262047 PGP262047 PQL262047 QAH262047 QKD262047 QTZ262047 RDV262047 RNR262047 RXN262047 SHJ262047 SRF262047 TBB262047 TKX262047 TUT262047 UEP262047 UOL262047 UYH262047 VID262047 VRZ262047 WBV262047 WLR262047 WVN262047 JB327583 SX327583 ACT327583 AMP327583 AWL327583 BGH327583 BQD327583 BZZ327583 CJV327583 CTR327583 DDN327583 DNJ327583 DXF327583 EHB327583 EQX327583 FAT327583 FKP327583 FUL327583 GEH327583 GOD327583 GXZ327583 HHV327583 HRR327583 IBN327583 ILJ327583 IVF327583 JFB327583 JOX327583 JYT327583 KIP327583 KSL327583 LCH327583 LMD327583 LVZ327583 MFV327583 MPR327583 MZN327583 NJJ327583 NTF327583 ODB327583 OMX327583 OWT327583 PGP327583 PQL327583 QAH327583 QKD327583 QTZ327583 RDV327583 RNR327583 RXN327583 SHJ327583 SRF327583 TBB327583 TKX327583 TUT327583 UEP327583 UOL327583 UYH327583 VID327583 VRZ327583 WBV327583 WLR327583 WVN327583 JB393119 SX393119 ACT393119 AMP393119 AWL393119 BGH393119 BQD393119 BZZ393119 CJV393119 CTR393119 DDN393119 DNJ393119 DXF393119 EHB393119 EQX393119 FAT393119 FKP393119 FUL393119 GEH393119 GOD393119 GXZ393119 HHV393119 HRR393119 IBN393119 ILJ393119 IVF393119 JFB393119 JOX393119 JYT393119 KIP393119 KSL393119 LCH393119 LMD393119 LVZ393119 MFV393119 MPR393119 MZN393119 NJJ393119 NTF393119 ODB393119 OMX393119 OWT393119 PGP393119 PQL393119 QAH393119 QKD393119 QTZ393119 RDV393119 RNR393119 RXN393119 SHJ393119 SRF393119 TBB393119 TKX393119 TUT393119 UEP393119 UOL393119 UYH393119 VID393119 VRZ393119 WBV393119 WLR393119 WVN393119 JB458655 SX458655 ACT458655 AMP458655 AWL458655 BGH458655 BQD458655 BZZ458655 CJV458655 CTR458655 DDN458655 DNJ458655 DXF458655 EHB458655 EQX458655 FAT458655 FKP458655 FUL458655 GEH458655 GOD458655 GXZ458655 HHV458655 HRR458655 IBN458655 ILJ458655 IVF458655 JFB458655 JOX458655 JYT458655 KIP458655 KSL458655 LCH458655 LMD458655 LVZ458655 MFV458655 MPR458655 MZN458655 NJJ458655 NTF458655 ODB458655 OMX458655 OWT458655 PGP458655 PQL458655 QAH458655 QKD458655 QTZ458655 RDV458655 RNR458655 RXN458655 SHJ458655 SRF458655 TBB458655 TKX458655 TUT458655 UEP458655 UOL458655 UYH458655 VID458655 VRZ458655 WBV458655 WLR458655 WVN458655 JB524191 SX524191 ACT524191 AMP524191 AWL524191 BGH524191 BQD524191 BZZ524191 CJV524191 CTR524191 DDN524191 DNJ524191 DXF524191 EHB524191 EQX524191 FAT524191 FKP524191 FUL524191 GEH524191 GOD524191 GXZ524191 HHV524191 HRR524191 IBN524191 ILJ524191 IVF524191 JFB524191 JOX524191 JYT524191 KIP524191 KSL524191 LCH524191 LMD524191 LVZ524191 MFV524191 MPR524191 MZN524191 NJJ524191 NTF524191 ODB524191 OMX524191 OWT524191 PGP524191 PQL524191 QAH524191 QKD524191 QTZ524191 RDV524191 RNR524191 RXN524191 SHJ524191 SRF524191 TBB524191 TKX524191 TUT524191 UEP524191 UOL524191 UYH524191 VID524191 VRZ524191 WBV524191 WLR524191 WVN524191 JB589727 SX589727 ACT589727 AMP589727 AWL589727 BGH589727 BQD589727 BZZ589727 CJV589727 CTR589727 DDN589727 DNJ589727 DXF589727 EHB589727 EQX589727 FAT589727 FKP589727 FUL589727 GEH589727 GOD589727 GXZ589727 HHV589727 HRR589727 IBN589727 ILJ589727 IVF589727 JFB589727 JOX589727 JYT589727 KIP589727 KSL589727 LCH589727 LMD589727 LVZ589727 MFV589727 MPR589727 MZN589727 NJJ589727 NTF589727 ODB589727 OMX589727 OWT589727 PGP589727 PQL589727 QAH589727 QKD589727 QTZ589727 RDV589727 RNR589727 RXN589727 SHJ589727 SRF589727 TBB589727 TKX589727 TUT589727 UEP589727 UOL589727 UYH589727 VID589727 VRZ589727 WBV589727 WLR589727 WVN589727 JB655263 SX655263 ACT655263 AMP655263 AWL655263 BGH655263 BQD655263 BZZ655263 CJV655263 CTR655263 DDN655263 DNJ655263 DXF655263 EHB655263 EQX655263 FAT655263 FKP655263 FUL655263 GEH655263 GOD655263 GXZ655263 HHV655263 HRR655263 IBN655263 ILJ655263 IVF655263 JFB655263 JOX655263 JYT655263 KIP655263 KSL655263 LCH655263 LMD655263 LVZ655263 MFV655263 MPR655263 MZN655263 NJJ655263 NTF655263 ODB655263 OMX655263 OWT655263 PGP655263 PQL655263 QAH655263 QKD655263 QTZ655263 RDV655263 RNR655263 RXN655263 SHJ655263 SRF655263 TBB655263 TKX655263 TUT655263 UEP655263 UOL655263 UYH655263 VID655263 VRZ655263 WBV655263 WLR655263 WVN655263 JB720799 SX720799 ACT720799 AMP720799 AWL720799 BGH720799 BQD720799 BZZ720799 CJV720799 CTR720799 DDN720799 DNJ720799 DXF720799 EHB720799 EQX720799 FAT720799 FKP720799 FUL720799 GEH720799 GOD720799 GXZ720799 HHV720799 HRR720799 IBN720799 ILJ720799 IVF720799 JFB720799 JOX720799 JYT720799 KIP720799 KSL720799 LCH720799 LMD720799 LVZ720799 MFV720799 MPR720799 MZN720799 NJJ720799 NTF720799 ODB720799 OMX720799 OWT720799 PGP720799 PQL720799 QAH720799 QKD720799 QTZ720799 RDV720799 RNR720799 RXN720799 SHJ720799 SRF720799 TBB720799 TKX720799 TUT720799 UEP720799 UOL720799 UYH720799 VID720799 VRZ720799 WBV720799 WLR720799 WVN720799 JB786335 SX786335 ACT786335 AMP786335 AWL786335 BGH786335 BQD786335 BZZ786335 CJV786335 CTR786335 DDN786335 DNJ786335 DXF786335 EHB786335 EQX786335 FAT786335 FKP786335 FUL786335 GEH786335 GOD786335 GXZ786335 HHV786335 HRR786335 IBN786335 ILJ786335 IVF786335 JFB786335 JOX786335 JYT786335 KIP786335 KSL786335 LCH786335 LMD786335 LVZ786335 MFV786335 MPR786335 MZN786335 NJJ786335 NTF786335 ODB786335 OMX786335 OWT786335 PGP786335 PQL786335 QAH786335 QKD786335 QTZ786335 RDV786335 RNR786335 RXN786335 SHJ786335 SRF786335 TBB786335 TKX786335 TUT786335 UEP786335 UOL786335 UYH786335 VID786335 VRZ786335 WBV786335 WLR786335 WVN786335 JB851871 SX851871 ACT851871 AMP851871 AWL851871 BGH851871 BQD851871 BZZ851871 CJV851871 CTR851871 DDN851871 DNJ851871 DXF851871 EHB851871 EQX851871 FAT851871 FKP851871 FUL851871 GEH851871 GOD851871 GXZ851871 HHV851871 HRR851871 IBN851871 ILJ851871 IVF851871 JFB851871 JOX851871 JYT851871 KIP851871 KSL851871 LCH851871 LMD851871 LVZ851871 MFV851871 MPR851871 MZN851871 NJJ851871 NTF851871 ODB851871 OMX851871 OWT851871 PGP851871 PQL851871 QAH851871 QKD851871 QTZ851871 RDV851871 RNR851871 RXN851871 SHJ851871 SRF851871 TBB851871 TKX851871 TUT851871 UEP851871 UOL851871 UYH851871 VID851871 VRZ851871 WBV851871 WLR851871 WVN851871 JB917407 SX917407 ACT917407 AMP917407 AWL917407 BGH917407 BQD917407 BZZ917407 CJV917407 CTR917407 DDN917407 DNJ917407 DXF917407 EHB917407 EQX917407 FAT917407 FKP917407 FUL917407 GEH917407 GOD917407 GXZ917407 HHV917407 HRR917407 IBN917407 ILJ917407 IVF917407 JFB917407 JOX917407 JYT917407 KIP917407 KSL917407 LCH917407 LMD917407 LVZ917407 MFV917407 MPR917407 MZN917407 NJJ917407 NTF917407 ODB917407 OMX917407 OWT917407 PGP917407 PQL917407 QAH917407 QKD917407 QTZ917407 RDV917407 RNR917407 RXN917407 SHJ917407 SRF917407 TBB917407 TKX917407 TUT917407 UEP917407 UOL917407 UYH917407 VID917407 VRZ917407 WBV917407 WLR917407 WVN917407 JB982943 SX982943 ACT982943 AMP982943 AWL982943 BGH982943 BQD982943 BZZ982943 CJV982943 CTR982943 DDN982943 DNJ982943 DXF982943 EHB982943 EQX982943 FAT982943 FKP982943 FUL982943 GEH982943 GOD982943 GXZ982943 HHV982943 HRR982943 IBN982943 ILJ982943 IVF982943 JFB982943 JOX982943 JYT982943 KIP982943 KSL982943 LCH982943 LMD982943 LVZ982943 MFV982943 MPR982943 MZN982943 NJJ982943 NTF982943 ODB982943 OMX982943 OWT982943 PGP982943 PQL982943 QAH982943 QKD982943 QTZ982943 RDV982943 RNR982943 RXN982943 SHJ982943 SRF982943 TBB982943 TKX982943 TUT982943 UEP982943 UOL982943 UYH982943 VID982943 VRZ982943 WBV982943 WLR982943 WVN982943"/>
    <dataValidation allowBlank="1" showInputMessage="1" showErrorMessage="1" prompt="53° 20' 52.4436''" sqref="IZ65443 SV65443 ACR65443 AMN65443 AWJ65443 BGF65443 BQB65443 BZX65443 CJT65443 CTP65443 DDL65443 DNH65443 DXD65443 EGZ65443 EQV65443 FAR65443 FKN65443 FUJ65443 GEF65443 GOB65443 GXX65443 HHT65443 HRP65443 IBL65443 ILH65443 IVD65443 JEZ65443 JOV65443 JYR65443 KIN65443 KSJ65443 LCF65443 LMB65443 LVX65443 MFT65443 MPP65443 MZL65443 NJH65443 NTD65443 OCZ65443 OMV65443 OWR65443 PGN65443 PQJ65443 QAF65443 QKB65443 QTX65443 RDT65443 RNP65443 RXL65443 SHH65443 SRD65443 TAZ65443 TKV65443 TUR65443 UEN65443 UOJ65443 UYF65443 VIB65443 VRX65443 WBT65443 WLP65443 WVL65443 IZ130979 SV130979 ACR130979 AMN130979 AWJ130979 BGF130979 BQB130979 BZX130979 CJT130979 CTP130979 DDL130979 DNH130979 DXD130979 EGZ130979 EQV130979 FAR130979 FKN130979 FUJ130979 GEF130979 GOB130979 GXX130979 HHT130979 HRP130979 IBL130979 ILH130979 IVD130979 JEZ130979 JOV130979 JYR130979 KIN130979 KSJ130979 LCF130979 LMB130979 LVX130979 MFT130979 MPP130979 MZL130979 NJH130979 NTD130979 OCZ130979 OMV130979 OWR130979 PGN130979 PQJ130979 QAF130979 QKB130979 QTX130979 RDT130979 RNP130979 RXL130979 SHH130979 SRD130979 TAZ130979 TKV130979 TUR130979 UEN130979 UOJ130979 UYF130979 VIB130979 VRX130979 WBT130979 WLP130979 WVL130979 IZ196515 SV196515 ACR196515 AMN196515 AWJ196515 BGF196515 BQB196515 BZX196515 CJT196515 CTP196515 DDL196515 DNH196515 DXD196515 EGZ196515 EQV196515 FAR196515 FKN196515 FUJ196515 GEF196515 GOB196515 GXX196515 HHT196515 HRP196515 IBL196515 ILH196515 IVD196515 JEZ196515 JOV196515 JYR196515 KIN196515 KSJ196515 LCF196515 LMB196515 LVX196515 MFT196515 MPP196515 MZL196515 NJH196515 NTD196515 OCZ196515 OMV196515 OWR196515 PGN196515 PQJ196515 QAF196515 QKB196515 QTX196515 RDT196515 RNP196515 RXL196515 SHH196515 SRD196515 TAZ196515 TKV196515 TUR196515 UEN196515 UOJ196515 UYF196515 VIB196515 VRX196515 WBT196515 WLP196515 WVL196515 IZ262051 SV262051 ACR262051 AMN262051 AWJ262051 BGF262051 BQB262051 BZX262051 CJT262051 CTP262051 DDL262051 DNH262051 DXD262051 EGZ262051 EQV262051 FAR262051 FKN262051 FUJ262051 GEF262051 GOB262051 GXX262051 HHT262051 HRP262051 IBL262051 ILH262051 IVD262051 JEZ262051 JOV262051 JYR262051 KIN262051 KSJ262051 LCF262051 LMB262051 LVX262051 MFT262051 MPP262051 MZL262051 NJH262051 NTD262051 OCZ262051 OMV262051 OWR262051 PGN262051 PQJ262051 QAF262051 QKB262051 QTX262051 RDT262051 RNP262051 RXL262051 SHH262051 SRD262051 TAZ262051 TKV262051 TUR262051 UEN262051 UOJ262051 UYF262051 VIB262051 VRX262051 WBT262051 WLP262051 WVL262051 IZ327587 SV327587 ACR327587 AMN327587 AWJ327587 BGF327587 BQB327587 BZX327587 CJT327587 CTP327587 DDL327587 DNH327587 DXD327587 EGZ327587 EQV327587 FAR327587 FKN327587 FUJ327587 GEF327587 GOB327587 GXX327587 HHT327587 HRP327587 IBL327587 ILH327587 IVD327587 JEZ327587 JOV327587 JYR327587 KIN327587 KSJ327587 LCF327587 LMB327587 LVX327587 MFT327587 MPP327587 MZL327587 NJH327587 NTD327587 OCZ327587 OMV327587 OWR327587 PGN327587 PQJ327587 QAF327587 QKB327587 QTX327587 RDT327587 RNP327587 RXL327587 SHH327587 SRD327587 TAZ327587 TKV327587 TUR327587 UEN327587 UOJ327587 UYF327587 VIB327587 VRX327587 WBT327587 WLP327587 WVL327587 IZ393123 SV393123 ACR393123 AMN393123 AWJ393123 BGF393123 BQB393123 BZX393123 CJT393123 CTP393123 DDL393123 DNH393123 DXD393123 EGZ393123 EQV393123 FAR393123 FKN393123 FUJ393123 GEF393123 GOB393123 GXX393123 HHT393123 HRP393123 IBL393123 ILH393123 IVD393123 JEZ393123 JOV393123 JYR393123 KIN393123 KSJ393123 LCF393123 LMB393123 LVX393123 MFT393123 MPP393123 MZL393123 NJH393123 NTD393123 OCZ393123 OMV393123 OWR393123 PGN393123 PQJ393123 QAF393123 QKB393123 QTX393123 RDT393123 RNP393123 RXL393123 SHH393123 SRD393123 TAZ393123 TKV393123 TUR393123 UEN393123 UOJ393123 UYF393123 VIB393123 VRX393123 WBT393123 WLP393123 WVL393123 IZ458659 SV458659 ACR458659 AMN458659 AWJ458659 BGF458659 BQB458659 BZX458659 CJT458659 CTP458659 DDL458659 DNH458659 DXD458659 EGZ458659 EQV458659 FAR458659 FKN458659 FUJ458659 GEF458659 GOB458659 GXX458659 HHT458659 HRP458659 IBL458659 ILH458659 IVD458659 JEZ458659 JOV458659 JYR458659 KIN458659 KSJ458659 LCF458659 LMB458659 LVX458659 MFT458659 MPP458659 MZL458659 NJH458659 NTD458659 OCZ458659 OMV458659 OWR458659 PGN458659 PQJ458659 QAF458659 QKB458659 QTX458659 RDT458659 RNP458659 RXL458659 SHH458659 SRD458659 TAZ458659 TKV458659 TUR458659 UEN458659 UOJ458659 UYF458659 VIB458659 VRX458659 WBT458659 WLP458659 WVL458659 IZ524195 SV524195 ACR524195 AMN524195 AWJ524195 BGF524195 BQB524195 BZX524195 CJT524195 CTP524195 DDL524195 DNH524195 DXD524195 EGZ524195 EQV524195 FAR524195 FKN524195 FUJ524195 GEF524195 GOB524195 GXX524195 HHT524195 HRP524195 IBL524195 ILH524195 IVD524195 JEZ524195 JOV524195 JYR524195 KIN524195 KSJ524195 LCF524195 LMB524195 LVX524195 MFT524195 MPP524195 MZL524195 NJH524195 NTD524195 OCZ524195 OMV524195 OWR524195 PGN524195 PQJ524195 QAF524195 QKB524195 QTX524195 RDT524195 RNP524195 RXL524195 SHH524195 SRD524195 TAZ524195 TKV524195 TUR524195 UEN524195 UOJ524195 UYF524195 VIB524195 VRX524195 WBT524195 WLP524195 WVL524195 IZ589731 SV589731 ACR589731 AMN589731 AWJ589731 BGF589731 BQB589731 BZX589731 CJT589731 CTP589731 DDL589731 DNH589731 DXD589731 EGZ589731 EQV589731 FAR589731 FKN589731 FUJ589731 GEF589731 GOB589731 GXX589731 HHT589731 HRP589731 IBL589731 ILH589731 IVD589731 JEZ589731 JOV589731 JYR589731 KIN589731 KSJ589731 LCF589731 LMB589731 LVX589731 MFT589731 MPP589731 MZL589731 NJH589731 NTD589731 OCZ589731 OMV589731 OWR589731 PGN589731 PQJ589731 QAF589731 QKB589731 QTX589731 RDT589731 RNP589731 RXL589731 SHH589731 SRD589731 TAZ589731 TKV589731 TUR589731 UEN589731 UOJ589731 UYF589731 VIB589731 VRX589731 WBT589731 WLP589731 WVL589731 IZ655267 SV655267 ACR655267 AMN655267 AWJ655267 BGF655267 BQB655267 BZX655267 CJT655267 CTP655267 DDL655267 DNH655267 DXD655267 EGZ655267 EQV655267 FAR655267 FKN655267 FUJ655267 GEF655267 GOB655267 GXX655267 HHT655267 HRP655267 IBL655267 ILH655267 IVD655267 JEZ655267 JOV655267 JYR655267 KIN655267 KSJ655267 LCF655267 LMB655267 LVX655267 MFT655267 MPP655267 MZL655267 NJH655267 NTD655267 OCZ655267 OMV655267 OWR655267 PGN655267 PQJ655267 QAF655267 QKB655267 QTX655267 RDT655267 RNP655267 RXL655267 SHH655267 SRD655267 TAZ655267 TKV655267 TUR655267 UEN655267 UOJ655267 UYF655267 VIB655267 VRX655267 WBT655267 WLP655267 WVL655267 IZ720803 SV720803 ACR720803 AMN720803 AWJ720803 BGF720803 BQB720803 BZX720803 CJT720803 CTP720803 DDL720803 DNH720803 DXD720803 EGZ720803 EQV720803 FAR720803 FKN720803 FUJ720803 GEF720803 GOB720803 GXX720803 HHT720803 HRP720803 IBL720803 ILH720803 IVD720803 JEZ720803 JOV720803 JYR720803 KIN720803 KSJ720803 LCF720803 LMB720803 LVX720803 MFT720803 MPP720803 MZL720803 NJH720803 NTD720803 OCZ720803 OMV720803 OWR720803 PGN720803 PQJ720803 QAF720803 QKB720803 QTX720803 RDT720803 RNP720803 RXL720803 SHH720803 SRD720803 TAZ720803 TKV720803 TUR720803 UEN720803 UOJ720803 UYF720803 VIB720803 VRX720803 WBT720803 WLP720803 WVL720803 IZ786339 SV786339 ACR786339 AMN786339 AWJ786339 BGF786339 BQB786339 BZX786339 CJT786339 CTP786339 DDL786339 DNH786339 DXD786339 EGZ786339 EQV786339 FAR786339 FKN786339 FUJ786339 GEF786339 GOB786339 GXX786339 HHT786339 HRP786339 IBL786339 ILH786339 IVD786339 JEZ786339 JOV786339 JYR786339 KIN786339 KSJ786339 LCF786339 LMB786339 LVX786339 MFT786339 MPP786339 MZL786339 NJH786339 NTD786339 OCZ786339 OMV786339 OWR786339 PGN786339 PQJ786339 QAF786339 QKB786339 QTX786339 RDT786339 RNP786339 RXL786339 SHH786339 SRD786339 TAZ786339 TKV786339 TUR786339 UEN786339 UOJ786339 UYF786339 VIB786339 VRX786339 WBT786339 WLP786339 WVL786339 IZ851875 SV851875 ACR851875 AMN851875 AWJ851875 BGF851875 BQB851875 BZX851875 CJT851875 CTP851875 DDL851875 DNH851875 DXD851875 EGZ851875 EQV851875 FAR851875 FKN851875 FUJ851875 GEF851875 GOB851875 GXX851875 HHT851875 HRP851875 IBL851875 ILH851875 IVD851875 JEZ851875 JOV851875 JYR851875 KIN851875 KSJ851875 LCF851875 LMB851875 LVX851875 MFT851875 MPP851875 MZL851875 NJH851875 NTD851875 OCZ851875 OMV851875 OWR851875 PGN851875 PQJ851875 QAF851875 QKB851875 QTX851875 RDT851875 RNP851875 RXL851875 SHH851875 SRD851875 TAZ851875 TKV851875 TUR851875 UEN851875 UOJ851875 UYF851875 VIB851875 VRX851875 WBT851875 WLP851875 WVL851875 IZ917411 SV917411 ACR917411 AMN917411 AWJ917411 BGF917411 BQB917411 BZX917411 CJT917411 CTP917411 DDL917411 DNH917411 DXD917411 EGZ917411 EQV917411 FAR917411 FKN917411 FUJ917411 GEF917411 GOB917411 GXX917411 HHT917411 HRP917411 IBL917411 ILH917411 IVD917411 JEZ917411 JOV917411 JYR917411 KIN917411 KSJ917411 LCF917411 LMB917411 LVX917411 MFT917411 MPP917411 MZL917411 NJH917411 NTD917411 OCZ917411 OMV917411 OWR917411 PGN917411 PQJ917411 QAF917411 QKB917411 QTX917411 RDT917411 RNP917411 RXL917411 SHH917411 SRD917411 TAZ917411 TKV917411 TUR917411 UEN917411 UOJ917411 UYF917411 VIB917411 VRX917411 WBT917411 WLP917411 WVL917411 IZ982947 SV982947 ACR982947 AMN982947 AWJ982947 BGF982947 BQB982947 BZX982947 CJT982947 CTP982947 DDL982947 DNH982947 DXD982947 EGZ982947 EQV982947 FAR982947 FKN982947 FUJ982947 GEF982947 GOB982947 GXX982947 HHT982947 HRP982947 IBL982947 ILH982947 IVD982947 JEZ982947 JOV982947 JYR982947 KIN982947 KSJ982947 LCF982947 LMB982947 LVX982947 MFT982947 MPP982947 MZL982947 NJH982947 NTD982947 OCZ982947 OMV982947 OWR982947 PGN982947 PQJ982947 QAF982947 QKB982947 QTX982947 RDT982947 RNP982947 RXL982947 SHH982947 SRD982947 TAZ982947 TKV982947 TUR982947 UEN982947 UOJ982947 UYF982947 VIB982947 VRX982947 WBT982947 WLP982947 WVL982947"/>
    <dataValidation allowBlank="1" showInputMessage="1" showErrorMessage="1" prompt="6° 17' 40.1424''" sqref="JB65443 SX65443 ACT65443 AMP65443 AWL65443 BGH65443 BQD65443 BZZ65443 CJV65443 CTR65443 DDN65443 DNJ65443 DXF65443 EHB65443 EQX65443 FAT65443 FKP65443 FUL65443 GEH65443 GOD65443 GXZ65443 HHV65443 HRR65443 IBN65443 ILJ65443 IVF65443 JFB65443 JOX65443 JYT65443 KIP65443 KSL65443 LCH65443 LMD65443 LVZ65443 MFV65443 MPR65443 MZN65443 NJJ65443 NTF65443 ODB65443 OMX65443 OWT65443 PGP65443 PQL65443 QAH65443 QKD65443 QTZ65443 RDV65443 RNR65443 RXN65443 SHJ65443 SRF65443 TBB65443 TKX65443 TUT65443 UEP65443 UOL65443 UYH65443 VID65443 VRZ65443 WBV65443 WLR65443 WVN65443 JB130979 SX130979 ACT130979 AMP130979 AWL130979 BGH130979 BQD130979 BZZ130979 CJV130979 CTR130979 DDN130979 DNJ130979 DXF130979 EHB130979 EQX130979 FAT130979 FKP130979 FUL130979 GEH130979 GOD130979 GXZ130979 HHV130979 HRR130979 IBN130979 ILJ130979 IVF130979 JFB130979 JOX130979 JYT130979 KIP130979 KSL130979 LCH130979 LMD130979 LVZ130979 MFV130979 MPR130979 MZN130979 NJJ130979 NTF130979 ODB130979 OMX130979 OWT130979 PGP130979 PQL130979 QAH130979 QKD130979 QTZ130979 RDV130979 RNR130979 RXN130979 SHJ130979 SRF130979 TBB130979 TKX130979 TUT130979 UEP130979 UOL130979 UYH130979 VID130979 VRZ130979 WBV130979 WLR130979 WVN130979 JB196515 SX196515 ACT196515 AMP196515 AWL196515 BGH196515 BQD196515 BZZ196515 CJV196515 CTR196515 DDN196515 DNJ196515 DXF196515 EHB196515 EQX196515 FAT196515 FKP196515 FUL196515 GEH196515 GOD196515 GXZ196515 HHV196515 HRR196515 IBN196515 ILJ196515 IVF196515 JFB196515 JOX196515 JYT196515 KIP196515 KSL196515 LCH196515 LMD196515 LVZ196515 MFV196515 MPR196515 MZN196515 NJJ196515 NTF196515 ODB196515 OMX196515 OWT196515 PGP196515 PQL196515 QAH196515 QKD196515 QTZ196515 RDV196515 RNR196515 RXN196515 SHJ196515 SRF196515 TBB196515 TKX196515 TUT196515 UEP196515 UOL196515 UYH196515 VID196515 VRZ196515 WBV196515 WLR196515 WVN196515 JB262051 SX262051 ACT262051 AMP262051 AWL262051 BGH262051 BQD262051 BZZ262051 CJV262051 CTR262051 DDN262051 DNJ262051 DXF262051 EHB262051 EQX262051 FAT262051 FKP262051 FUL262051 GEH262051 GOD262051 GXZ262051 HHV262051 HRR262051 IBN262051 ILJ262051 IVF262051 JFB262051 JOX262051 JYT262051 KIP262051 KSL262051 LCH262051 LMD262051 LVZ262051 MFV262051 MPR262051 MZN262051 NJJ262051 NTF262051 ODB262051 OMX262051 OWT262051 PGP262051 PQL262051 QAH262051 QKD262051 QTZ262051 RDV262051 RNR262051 RXN262051 SHJ262051 SRF262051 TBB262051 TKX262051 TUT262051 UEP262051 UOL262051 UYH262051 VID262051 VRZ262051 WBV262051 WLR262051 WVN262051 JB327587 SX327587 ACT327587 AMP327587 AWL327587 BGH327587 BQD327587 BZZ327587 CJV327587 CTR327587 DDN327587 DNJ327587 DXF327587 EHB327587 EQX327587 FAT327587 FKP327587 FUL327587 GEH327587 GOD327587 GXZ327587 HHV327587 HRR327587 IBN327587 ILJ327587 IVF327587 JFB327587 JOX327587 JYT327587 KIP327587 KSL327587 LCH327587 LMD327587 LVZ327587 MFV327587 MPR327587 MZN327587 NJJ327587 NTF327587 ODB327587 OMX327587 OWT327587 PGP327587 PQL327587 QAH327587 QKD327587 QTZ327587 RDV327587 RNR327587 RXN327587 SHJ327587 SRF327587 TBB327587 TKX327587 TUT327587 UEP327587 UOL327587 UYH327587 VID327587 VRZ327587 WBV327587 WLR327587 WVN327587 JB393123 SX393123 ACT393123 AMP393123 AWL393123 BGH393123 BQD393123 BZZ393123 CJV393123 CTR393123 DDN393123 DNJ393123 DXF393123 EHB393123 EQX393123 FAT393123 FKP393123 FUL393123 GEH393123 GOD393123 GXZ393123 HHV393123 HRR393123 IBN393123 ILJ393123 IVF393123 JFB393123 JOX393123 JYT393123 KIP393123 KSL393123 LCH393123 LMD393123 LVZ393123 MFV393123 MPR393123 MZN393123 NJJ393123 NTF393123 ODB393123 OMX393123 OWT393123 PGP393123 PQL393123 QAH393123 QKD393123 QTZ393123 RDV393123 RNR393123 RXN393123 SHJ393123 SRF393123 TBB393123 TKX393123 TUT393123 UEP393123 UOL393123 UYH393123 VID393123 VRZ393123 WBV393123 WLR393123 WVN393123 JB458659 SX458659 ACT458659 AMP458659 AWL458659 BGH458659 BQD458659 BZZ458659 CJV458659 CTR458659 DDN458659 DNJ458659 DXF458659 EHB458659 EQX458659 FAT458659 FKP458659 FUL458659 GEH458659 GOD458659 GXZ458659 HHV458659 HRR458659 IBN458659 ILJ458659 IVF458659 JFB458659 JOX458659 JYT458659 KIP458659 KSL458659 LCH458659 LMD458659 LVZ458659 MFV458659 MPR458659 MZN458659 NJJ458659 NTF458659 ODB458659 OMX458659 OWT458659 PGP458659 PQL458659 QAH458659 QKD458659 QTZ458659 RDV458659 RNR458659 RXN458659 SHJ458659 SRF458659 TBB458659 TKX458659 TUT458659 UEP458659 UOL458659 UYH458659 VID458659 VRZ458659 WBV458659 WLR458659 WVN458659 JB524195 SX524195 ACT524195 AMP524195 AWL524195 BGH524195 BQD524195 BZZ524195 CJV524195 CTR524195 DDN524195 DNJ524195 DXF524195 EHB524195 EQX524195 FAT524195 FKP524195 FUL524195 GEH524195 GOD524195 GXZ524195 HHV524195 HRR524195 IBN524195 ILJ524195 IVF524195 JFB524195 JOX524195 JYT524195 KIP524195 KSL524195 LCH524195 LMD524195 LVZ524195 MFV524195 MPR524195 MZN524195 NJJ524195 NTF524195 ODB524195 OMX524195 OWT524195 PGP524195 PQL524195 QAH524195 QKD524195 QTZ524195 RDV524195 RNR524195 RXN524195 SHJ524195 SRF524195 TBB524195 TKX524195 TUT524195 UEP524195 UOL524195 UYH524195 VID524195 VRZ524195 WBV524195 WLR524195 WVN524195 JB589731 SX589731 ACT589731 AMP589731 AWL589731 BGH589731 BQD589731 BZZ589731 CJV589731 CTR589731 DDN589731 DNJ589731 DXF589731 EHB589731 EQX589731 FAT589731 FKP589731 FUL589731 GEH589731 GOD589731 GXZ589731 HHV589731 HRR589731 IBN589731 ILJ589731 IVF589731 JFB589731 JOX589731 JYT589731 KIP589731 KSL589731 LCH589731 LMD589731 LVZ589731 MFV589731 MPR589731 MZN589731 NJJ589731 NTF589731 ODB589731 OMX589731 OWT589731 PGP589731 PQL589731 QAH589731 QKD589731 QTZ589731 RDV589731 RNR589731 RXN589731 SHJ589731 SRF589731 TBB589731 TKX589731 TUT589731 UEP589731 UOL589731 UYH589731 VID589731 VRZ589731 WBV589731 WLR589731 WVN589731 JB655267 SX655267 ACT655267 AMP655267 AWL655267 BGH655267 BQD655267 BZZ655267 CJV655267 CTR655267 DDN655267 DNJ655267 DXF655267 EHB655267 EQX655267 FAT655267 FKP655267 FUL655267 GEH655267 GOD655267 GXZ655267 HHV655267 HRR655267 IBN655267 ILJ655267 IVF655267 JFB655267 JOX655267 JYT655267 KIP655267 KSL655267 LCH655267 LMD655267 LVZ655267 MFV655267 MPR655267 MZN655267 NJJ655267 NTF655267 ODB655267 OMX655267 OWT655267 PGP655267 PQL655267 QAH655267 QKD655267 QTZ655267 RDV655267 RNR655267 RXN655267 SHJ655267 SRF655267 TBB655267 TKX655267 TUT655267 UEP655267 UOL655267 UYH655267 VID655267 VRZ655267 WBV655267 WLR655267 WVN655267 JB720803 SX720803 ACT720803 AMP720803 AWL720803 BGH720803 BQD720803 BZZ720803 CJV720803 CTR720803 DDN720803 DNJ720803 DXF720803 EHB720803 EQX720803 FAT720803 FKP720803 FUL720803 GEH720803 GOD720803 GXZ720803 HHV720803 HRR720803 IBN720803 ILJ720803 IVF720803 JFB720803 JOX720803 JYT720803 KIP720803 KSL720803 LCH720803 LMD720803 LVZ720803 MFV720803 MPR720803 MZN720803 NJJ720803 NTF720803 ODB720803 OMX720803 OWT720803 PGP720803 PQL720803 QAH720803 QKD720803 QTZ720803 RDV720803 RNR720803 RXN720803 SHJ720803 SRF720803 TBB720803 TKX720803 TUT720803 UEP720803 UOL720803 UYH720803 VID720803 VRZ720803 WBV720803 WLR720803 WVN720803 JB786339 SX786339 ACT786339 AMP786339 AWL786339 BGH786339 BQD786339 BZZ786339 CJV786339 CTR786339 DDN786339 DNJ786339 DXF786339 EHB786339 EQX786339 FAT786339 FKP786339 FUL786339 GEH786339 GOD786339 GXZ786339 HHV786339 HRR786339 IBN786339 ILJ786339 IVF786339 JFB786339 JOX786339 JYT786339 KIP786339 KSL786339 LCH786339 LMD786339 LVZ786339 MFV786339 MPR786339 MZN786339 NJJ786339 NTF786339 ODB786339 OMX786339 OWT786339 PGP786339 PQL786339 QAH786339 QKD786339 QTZ786339 RDV786339 RNR786339 RXN786339 SHJ786339 SRF786339 TBB786339 TKX786339 TUT786339 UEP786339 UOL786339 UYH786339 VID786339 VRZ786339 WBV786339 WLR786339 WVN786339 JB851875 SX851875 ACT851875 AMP851875 AWL851875 BGH851875 BQD851875 BZZ851875 CJV851875 CTR851875 DDN851875 DNJ851875 DXF851875 EHB851875 EQX851875 FAT851875 FKP851875 FUL851875 GEH851875 GOD851875 GXZ851875 HHV851875 HRR851875 IBN851875 ILJ851875 IVF851875 JFB851875 JOX851875 JYT851875 KIP851875 KSL851875 LCH851875 LMD851875 LVZ851875 MFV851875 MPR851875 MZN851875 NJJ851875 NTF851875 ODB851875 OMX851875 OWT851875 PGP851875 PQL851875 QAH851875 QKD851875 QTZ851875 RDV851875 RNR851875 RXN851875 SHJ851875 SRF851875 TBB851875 TKX851875 TUT851875 UEP851875 UOL851875 UYH851875 VID851875 VRZ851875 WBV851875 WLR851875 WVN851875 JB917411 SX917411 ACT917411 AMP917411 AWL917411 BGH917411 BQD917411 BZZ917411 CJV917411 CTR917411 DDN917411 DNJ917411 DXF917411 EHB917411 EQX917411 FAT917411 FKP917411 FUL917411 GEH917411 GOD917411 GXZ917411 HHV917411 HRR917411 IBN917411 ILJ917411 IVF917411 JFB917411 JOX917411 JYT917411 KIP917411 KSL917411 LCH917411 LMD917411 LVZ917411 MFV917411 MPR917411 MZN917411 NJJ917411 NTF917411 ODB917411 OMX917411 OWT917411 PGP917411 PQL917411 QAH917411 QKD917411 QTZ917411 RDV917411 RNR917411 RXN917411 SHJ917411 SRF917411 TBB917411 TKX917411 TUT917411 UEP917411 UOL917411 UYH917411 VID917411 VRZ917411 WBV917411 WLR917411 WVN917411 JB982947 SX982947 ACT982947 AMP982947 AWL982947 BGH982947 BQD982947 BZZ982947 CJV982947 CTR982947 DDN982947 DNJ982947 DXF982947 EHB982947 EQX982947 FAT982947 FKP982947 FUL982947 GEH982947 GOD982947 GXZ982947 HHV982947 HRR982947 IBN982947 ILJ982947 IVF982947 JFB982947 JOX982947 JYT982947 KIP982947 KSL982947 LCH982947 LMD982947 LVZ982947 MFV982947 MPR982947 MZN982947 NJJ982947 NTF982947 ODB982947 OMX982947 OWT982947 PGP982947 PQL982947 QAH982947 QKD982947 QTZ982947 RDV982947 RNR982947 RXN982947 SHJ982947 SRF982947 TBB982947 TKX982947 TUT982947 UEP982947 UOL982947 UYH982947 VID982947 VRZ982947 WBV982947 WLR982947 WVN982947"/>
  </dataValidations>
  <pageMargins left="0.23622047244094491" right="0.23622047244094491" top="0.74803149606299213" bottom="0.74803149606299213" header="0.31496062992125984" footer="0.31496062992125984"/>
  <pageSetup paperSize="9" fitToWidth="0" fitToHeight="0"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
  <sheetViews>
    <sheetView view="pageLayout" topLeftCell="A33" zoomScale="85" zoomScaleNormal="100" zoomScalePageLayoutView="85" workbookViewId="0">
      <selection activeCell="C53" sqref="C53:E53"/>
    </sheetView>
  </sheetViews>
  <sheetFormatPr defaultRowHeight="15" customHeight="1" x14ac:dyDescent="0.3"/>
  <cols>
    <col min="1" max="1" width="2.6640625" style="151" customWidth="1"/>
    <col min="2" max="9" width="5.33203125" style="151" customWidth="1"/>
    <col min="10" max="10" width="6.33203125" style="151" customWidth="1"/>
    <col min="11" max="11" width="5.33203125" style="151" customWidth="1"/>
    <col min="12" max="12" width="7.33203125" style="151" customWidth="1"/>
    <col min="13" max="13" width="5.33203125" style="151" customWidth="1"/>
    <col min="14" max="14" width="5.88671875" style="151" customWidth="1"/>
    <col min="15" max="22" width="5.33203125" style="151" customWidth="1"/>
    <col min="23" max="23" width="8.109375" style="151" customWidth="1"/>
    <col min="24" max="25" width="5.33203125" style="151" customWidth="1"/>
    <col min="26" max="26" width="2.109375" style="151" customWidth="1"/>
    <col min="27" max="27" width="2.5546875" style="151" customWidth="1"/>
    <col min="28" max="269" width="7.6640625" style="151" customWidth="1"/>
    <col min="270" max="270" width="14.33203125" style="151" customWidth="1"/>
    <col min="271" max="271" width="4" style="151" customWidth="1"/>
    <col min="272" max="272" width="14.33203125" style="151" customWidth="1"/>
    <col min="273" max="273" width="4" style="151" customWidth="1"/>
    <col min="274" max="525" width="7.6640625" style="151" customWidth="1"/>
    <col min="526" max="526" width="14.33203125" style="151" customWidth="1"/>
    <col min="527" max="527" width="4" style="151" customWidth="1"/>
    <col min="528" max="528" width="14.33203125" style="151" customWidth="1"/>
    <col min="529" max="529" width="4" style="151" customWidth="1"/>
    <col min="530" max="781" width="7.6640625" style="151" customWidth="1"/>
    <col min="782" max="782" width="14.33203125" style="151" customWidth="1"/>
    <col min="783" max="783" width="4" style="151" customWidth="1"/>
    <col min="784" max="784" width="14.33203125" style="151" customWidth="1"/>
    <col min="785" max="785" width="4" style="151" customWidth="1"/>
    <col min="786" max="1037" width="7.6640625" style="151" customWidth="1"/>
    <col min="1038" max="1038" width="14.33203125" style="151" customWidth="1"/>
    <col min="1039" max="1039" width="4" style="151" customWidth="1"/>
    <col min="1040" max="1040" width="14.33203125" style="151" customWidth="1"/>
    <col min="1041" max="1041" width="4" style="151" customWidth="1"/>
    <col min="1042" max="1293" width="7.6640625" style="151" customWidth="1"/>
    <col min="1294" max="1294" width="14.33203125" style="151" customWidth="1"/>
    <col min="1295" max="1295" width="4" style="151" customWidth="1"/>
    <col min="1296" max="1296" width="14.33203125" style="151" customWidth="1"/>
    <col min="1297" max="1297" width="4" style="151" customWidth="1"/>
    <col min="1298" max="1549" width="7.6640625" style="151" customWidth="1"/>
    <col min="1550" max="1550" width="14.33203125" style="151" customWidth="1"/>
    <col min="1551" max="1551" width="4" style="151" customWidth="1"/>
    <col min="1552" max="1552" width="14.33203125" style="151" customWidth="1"/>
    <col min="1553" max="1553" width="4" style="151" customWidth="1"/>
    <col min="1554" max="1805" width="7.6640625" style="151" customWidth="1"/>
    <col min="1806" max="1806" width="14.33203125" style="151" customWidth="1"/>
    <col min="1807" max="1807" width="4" style="151" customWidth="1"/>
    <col min="1808" max="1808" width="14.33203125" style="151" customWidth="1"/>
    <col min="1809" max="1809" width="4" style="151" customWidth="1"/>
    <col min="1810" max="2061" width="7.6640625" style="151" customWidth="1"/>
    <col min="2062" max="2062" width="14.33203125" style="151" customWidth="1"/>
    <col min="2063" max="2063" width="4" style="151" customWidth="1"/>
    <col min="2064" max="2064" width="14.33203125" style="151" customWidth="1"/>
    <col min="2065" max="2065" width="4" style="151" customWidth="1"/>
    <col min="2066" max="2317" width="7.6640625" style="151" customWidth="1"/>
    <col min="2318" max="2318" width="14.33203125" style="151" customWidth="1"/>
    <col min="2319" max="2319" width="4" style="151" customWidth="1"/>
    <col min="2320" max="2320" width="14.33203125" style="151" customWidth="1"/>
    <col min="2321" max="2321" width="4" style="151" customWidth="1"/>
    <col min="2322" max="2573" width="7.6640625" style="151" customWidth="1"/>
    <col min="2574" max="2574" width="14.33203125" style="151" customWidth="1"/>
    <col min="2575" max="2575" width="4" style="151" customWidth="1"/>
    <col min="2576" max="2576" width="14.33203125" style="151" customWidth="1"/>
    <col min="2577" max="2577" width="4" style="151" customWidth="1"/>
    <col min="2578" max="2829" width="7.6640625" style="151" customWidth="1"/>
    <col min="2830" max="2830" width="14.33203125" style="151" customWidth="1"/>
    <col min="2831" max="2831" width="4" style="151" customWidth="1"/>
    <col min="2832" max="2832" width="14.33203125" style="151" customWidth="1"/>
    <col min="2833" max="2833" width="4" style="151" customWidth="1"/>
    <col min="2834" max="3085" width="7.6640625" style="151" customWidth="1"/>
    <col min="3086" max="3086" width="14.33203125" style="151" customWidth="1"/>
    <col min="3087" max="3087" width="4" style="151" customWidth="1"/>
    <col min="3088" max="3088" width="14.33203125" style="151" customWidth="1"/>
    <col min="3089" max="3089" width="4" style="151" customWidth="1"/>
    <col min="3090" max="3341" width="7.6640625" style="151" customWidth="1"/>
    <col min="3342" max="3342" width="14.33203125" style="151" customWidth="1"/>
    <col min="3343" max="3343" width="4" style="151" customWidth="1"/>
    <col min="3344" max="3344" width="14.33203125" style="151" customWidth="1"/>
    <col min="3345" max="3345" width="4" style="151" customWidth="1"/>
    <col min="3346" max="3597" width="7.6640625" style="151" customWidth="1"/>
    <col min="3598" max="3598" width="14.33203125" style="151" customWidth="1"/>
    <col min="3599" max="3599" width="4" style="151" customWidth="1"/>
    <col min="3600" max="3600" width="14.33203125" style="151" customWidth="1"/>
    <col min="3601" max="3601" width="4" style="151" customWidth="1"/>
    <col min="3602" max="3853" width="7.6640625" style="151" customWidth="1"/>
    <col min="3854" max="3854" width="14.33203125" style="151" customWidth="1"/>
    <col min="3855" max="3855" width="4" style="151" customWidth="1"/>
    <col min="3856" max="3856" width="14.33203125" style="151" customWidth="1"/>
    <col min="3857" max="3857" width="4" style="151" customWidth="1"/>
    <col min="3858" max="4109" width="7.6640625" style="151" customWidth="1"/>
    <col min="4110" max="4110" width="14.33203125" style="151" customWidth="1"/>
    <col min="4111" max="4111" width="4" style="151" customWidth="1"/>
    <col min="4112" max="4112" width="14.33203125" style="151" customWidth="1"/>
    <col min="4113" max="4113" width="4" style="151" customWidth="1"/>
    <col min="4114" max="4365" width="7.6640625" style="151" customWidth="1"/>
    <col min="4366" max="4366" width="14.33203125" style="151" customWidth="1"/>
    <col min="4367" max="4367" width="4" style="151" customWidth="1"/>
    <col min="4368" max="4368" width="14.33203125" style="151" customWidth="1"/>
    <col min="4369" max="4369" width="4" style="151" customWidth="1"/>
    <col min="4370" max="4621" width="7.6640625" style="151" customWidth="1"/>
    <col min="4622" max="4622" width="14.33203125" style="151" customWidth="1"/>
    <col min="4623" max="4623" width="4" style="151" customWidth="1"/>
    <col min="4624" max="4624" width="14.33203125" style="151" customWidth="1"/>
    <col min="4625" max="4625" width="4" style="151" customWidth="1"/>
    <col min="4626" max="4877" width="7.6640625" style="151" customWidth="1"/>
    <col min="4878" max="4878" width="14.33203125" style="151" customWidth="1"/>
    <col min="4879" max="4879" width="4" style="151" customWidth="1"/>
    <col min="4880" max="4880" width="14.33203125" style="151" customWidth="1"/>
    <col min="4881" max="4881" width="4" style="151" customWidth="1"/>
    <col min="4882" max="5133" width="7.6640625" style="151" customWidth="1"/>
    <col min="5134" max="5134" width="14.33203125" style="151" customWidth="1"/>
    <col min="5135" max="5135" width="4" style="151" customWidth="1"/>
    <col min="5136" max="5136" width="14.33203125" style="151" customWidth="1"/>
    <col min="5137" max="5137" width="4" style="151" customWidth="1"/>
    <col min="5138" max="5389" width="7.6640625" style="151" customWidth="1"/>
    <col min="5390" max="5390" width="14.33203125" style="151" customWidth="1"/>
    <col min="5391" max="5391" width="4" style="151" customWidth="1"/>
    <col min="5392" max="5392" width="14.33203125" style="151" customWidth="1"/>
    <col min="5393" max="5393" width="4" style="151" customWidth="1"/>
    <col min="5394" max="5645" width="7.6640625" style="151" customWidth="1"/>
    <col min="5646" max="5646" width="14.33203125" style="151" customWidth="1"/>
    <col min="5647" max="5647" width="4" style="151" customWidth="1"/>
    <col min="5648" max="5648" width="14.33203125" style="151" customWidth="1"/>
    <col min="5649" max="5649" width="4" style="151" customWidth="1"/>
    <col min="5650" max="5901" width="7.6640625" style="151" customWidth="1"/>
    <col min="5902" max="5902" width="14.33203125" style="151" customWidth="1"/>
    <col min="5903" max="5903" width="4" style="151" customWidth="1"/>
    <col min="5904" max="5904" width="14.33203125" style="151" customWidth="1"/>
    <col min="5905" max="5905" width="4" style="151" customWidth="1"/>
    <col min="5906" max="6157" width="7.6640625" style="151" customWidth="1"/>
    <col min="6158" max="6158" width="14.33203125" style="151" customWidth="1"/>
    <col min="6159" max="6159" width="4" style="151" customWidth="1"/>
    <col min="6160" max="6160" width="14.33203125" style="151" customWidth="1"/>
    <col min="6161" max="6161" width="4" style="151" customWidth="1"/>
    <col min="6162" max="6413" width="7.6640625" style="151" customWidth="1"/>
    <col min="6414" max="6414" width="14.33203125" style="151" customWidth="1"/>
    <col min="6415" max="6415" width="4" style="151" customWidth="1"/>
    <col min="6416" max="6416" width="14.33203125" style="151" customWidth="1"/>
    <col min="6417" max="6417" width="4" style="151" customWidth="1"/>
    <col min="6418" max="6669" width="7.6640625" style="151" customWidth="1"/>
    <col min="6670" max="6670" width="14.33203125" style="151" customWidth="1"/>
    <col min="6671" max="6671" width="4" style="151" customWidth="1"/>
    <col min="6672" max="6672" width="14.33203125" style="151" customWidth="1"/>
    <col min="6673" max="6673" width="4" style="151" customWidth="1"/>
    <col min="6674" max="6925" width="7.6640625" style="151" customWidth="1"/>
    <col min="6926" max="6926" width="14.33203125" style="151" customWidth="1"/>
    <col min="6927" max="6927" width="4" style="151" customWidth="1"/>
    <col min="6928" max="6928" width="14.33203125" style="151" customWidth="1"/>
    <col min="6929" max="6929" width="4" style="151" customWidth="1"/>
    <col min="6930" max="7181" width="7.6640625" style="151" customWidth="1"/>
    <col min="7182" max="7182" width="14.33203125" style="151" customWidth="1"/>
    <col min="7183" max="7183" width="4" style="151" customWidth="1"/>
    <col min="7184" max="7184" width="14.33203125" style="151" customWidth="1"/>
    <col min="7185" max="7185" width="4" style="151" customWidth="1"/>
    <col min="7186" max="7437" width="7.6640625" style="151" customWidth="1"/>
    <col min="7438" max="7438" width="14.33203125" style="151" customWidth="1"/>
    <col min="7439" max="7439" width="4" style="151" customWidth="1"/>
    <col min="7440" max="7440" width="14.33203125" style="151" customWidth="1"/>
    <col min="7441" max="7441" width="4" style="151" customWidth="1"/>
    <col min="7442" max="7693" width="7.6640625" style="151" customWidth="1"/>
    <col min="7694" max="7694" width="14.33203125" style="151" customWidth="1"/>
    <col min="7695" max="7695" width="4" style="151" customWidth="1"/>
    <col min="7696" max="7696" width="14.33203125" style="151" customWidth="1"/>
    <col min="7697" max="7697" width="4" style="151" customWidth="1"/>
    <col min="7698" max="7949" width="7.6640625" style="151" customWidth="1"/>
    <col min="7950" max="7950" width="14.33203125" style="151" customWidth="1"/>
    <col min="7951" max="7951" width="4" style="151" customWidth="1"/>
    <col min="7952" max="7952" width="14.33203125" style="151" customWidth="1"/>
    <col min="7953" max="7953" width="4" style="151" customWidth="1"/>
    <col min="7954" max="8205" width="7.6640625" style="151" customWidth="1"/>
    <col min="8206" max="8206" width="14.33203125" style="151" customWidth="1"/>
    <col min="8207" max="8207" width="4" style="151" customWidth="1"/>
    <col min="8208" max="8208" width="14.33203125" style="151" customWidth="1"/>
    <col min="8209" max="8209" width="4" style="151" customWidth="1"/>
    <col min="8210" max="8461" width="7.6640625" style="151" customWidth="1"/>
    <col min="8462" max="8462" width="14.33203125" style="151" customWidth="1"/>
    <col min="8463" max="8463" width="4" style="151" customWidth="1"/>
    <col min="8464" max="8464" width="14.33203125" style="151" customWidth="1"/>
    <col min="8465" max="8465" width="4" style="151" customWidth="1"/>
    <col min="8466" max="8717" width="7.6640625" style="151" customWidth="1"/>
    <col min="8718" max="8718" width="14.33203125" style="151" customWidth="1"/>
    <col min="8719" max="8719" width="4" style="151" customWidth="1"/>
    <col min="8720" max="8720" width="14.33203125" style="151" customWidth="1"/>
    <col min="8721" max="8721" width="4" style="151" customWidth="1"/>
    <col min="8722" max="8973" width="7.6640625" style="151" customWidth="1"/>
    <col min="8974" max="8974" width="14.33203125" style="151" customWidth="1"/>
    <col min="8975" max="8975" width="4" style="151" customWidth="1"/>
    <col min="8976" max="8976" width="14.33203125" style="151" customWidth="1"/>
    <col min="8977" max="8977" width="4" style="151" customWidth="1"/>
    <col min="8978" max="9229" width="7.6640625" style="151" customWidth="1"/>
    <col min="9230" max="9230" width="14.33203125" style="151" customWidth="1"/>
    <col min="9231" max="9231" width="4" style="151" customWidth="1"/>
    <col min="9232" max="9232" width="14.33203125" style="151" customWidth="1"/>
    <col min="9233" max="9233" width="4" style="151" customWidth="1"/>
    <col min="9234" max="9485" width="7.6640625" style="151" customWidth="1"/>
    <col min="9486" max="9486" width="14.33203125" style="151" customWidth="1"/>
    <col min="9487" max="9487" width="4" style="151" customWidth="1"/>
    <col min="9488" max="9488" width="14.33203125" style="151" customWidth="1"/>
    <col min="9489" max="9489" width="4" style="151" customWidth="1"/>
    <col min="9490" max="9741" width="7.6640625" style="151" customWidth="1"/>
    <col min="9742" max="9742" width="14.33203125" style="151" customWidth="1"/>
    <col min="9743" max="9743" width="4" style="151" customWidth="1"/>
    <col min="9744" max="9744" width="14.33203125" style="151" customWidth="1"/>
    <col min="9745" max="9745" width="4" style="151" customWidth="1"/>
    <col min="9746" max="9997" width="7.6640625" style="151" customWidth="1"/>
    <col min="9998" max="9998" width="14.33203125" style="151" customWidth="1"/>
    <col min="9999" max="9999" width="4" style="151" customWidth="1"/>
    <col min="10000" max="10000" width="14.33203125" style="151" customWidth="1"/>
    <col min="10001" max="10001" width="4" style="151" customWidth="1"/>
    <col min="10002" max="10253" width="7.6640625" style="151" customWidth="1"/>
    <col min="10254" max="10254" width="14.33203125" style="151" customWidth="1"/>
    <col min="10255" max="10255" width="4" style="151" customWidth="1"/>
    <col min="10256" max="10256" width="14.33203125" style="151" customWidth="1"/>
    <col min="10257" max="10257" width="4" style="151" customWidth="1"/>
    <col min="10258" max="10509" width="7.6640625" style="151" customWidth="1"/>
    <col min="10510" max="10510" width="14.33203125" style="151" customWidth="1"/>
    <col min="10511" max="10511" width="4" style="151" customWidth="1"/>
    <col min="10512" max="10512" width="14.33203125" style="151" customWidth="1"/>
    <col min="10513" max="10513" width="4" style="151" customWidth="1"/>
    <col min="10514" max="10765" width="7.6640625" style="151" customWidth="1"/>
    <col min="10766" max="10766" width="14.33203125" style="151" customWidth="1"/>
    <col min="10767" max="10767" width="4" style="151" customWidth="1"/>
    <col min="10768" max="10768" width="14.33203125" style="151" customWidth="1"/>
    <col min="10769" max="10769" width="4" style="151" customWidth="1"/>
    <col min="10770" max="11021" width="7.6640625" style="151" customWidth="1"/>
    <col min="11022" max="11022" width="14.33203125" style="151" customWidth="1"/>
    <col min="11023" max="11023" width="4" style="151" customWidth="1"/>
    <col min="11024" max="11024" width="14.33203125" style="151" customWidth="1"/>
    <col min="11025" max="11025" width="4" style="151" customWidth="1"/>
    <col min="11026" max="11277" width="7.6640625" style="151" customWidth="1"/>
    <col min="11278" max="11278" width="14.33203125" style="151" customWidth="1"/>
    <col min="11279" max="11279" width="4" style="151" customWidth="1"/>
    <col min="11280" max="11280" width="14.33203125" style="151" customWidth="1"/>
    <col min="11281" max="11281" width="4" style="151" customWidth="1"/>
    <col min="11282" max="11533" width="7.6640625" style="151" customWidth="1"/>
    <col min="11534" max="11534" width="14.33203125" style="151" customWidth="1"/>
    <col min="11535" max="11535" width="4" style="151" customWidth="1"/>
    <col min="11536" max="11536" width="14.33203125" style="151" customWidth="1"/>
    <col min="11537" max="11537" width="4" style="151" customWidth="1"/>
    <col min="11538" max="11789" width="7.6640625" style="151" customWidth="1"/>
    <col min="11790" max="11790" width="14.33203125" style="151" customWidth="1"/>
    <col min="11791" max="11791" width="4" style="151" customWidth="1"/>
    <col min="11792" max="11792" width="14.33203125" style="151" customWidth="1"/>
    <col min="11793" max="11793" width="4" style="151" customWidth="1"/>
    <col min="11794" max="12045" width="7.6640625" style="151" customWidth="1"/>
    <col min="12046" max="12046" width="14.33203125" style="151" customWidth="1"/>
    <col min="12047" max="12047" width="4" style="151" customWidth="1"/>
    <col min="12048" max="12048" width="14.33203125" style="151" customWidth="1"/>
    <col min="12049" max="12049" width="4" style="151" customWidth="1"/>
    <col min="12050" max="12301" width="7.6640625" style="151" customWidth="1"/>
    <col min="12302" max="12302" width="14.33203125" style="151" customWidth="1"/>
    <col min="12303" max="12303" width="4" style="151" customWidth="1"/>
    <col min="12304" max="12304" width="14.33203125" style="151" customWidth="1"/>
    <col min="12305" max="12305" width="4" style="151" customWidth="1"/>
    <col min="12306" max="12557" width="7.6640625" style="151" customWidth="1"/>
    <col min="12558" max="12558" width="14.33203125" style="151" customWidth="1"/>
    <col min="12559" max="12559" width="4" style="151" customWidth="1"/>
    <col min="12560" max="12560" width="14.33203125" style="151" customWidth="1"/>
    <col min="12561" max="12561" width="4" style="151" customWidth="1"/>
    <col min="12562" max="12813" width="7.6640625" style="151" customWidth="1"/>
    <col min="12814" max="12814" width="14.33203125" style="151" customWidth="1"/>
    <col min="12815" max="12815" width="4" style="151" customWidth="1"/>
    <col min="12816" max="12816" width="14.33203125" style="151" customWidth="1"/>
    <col min="12817" max="12817" width="4" style="151" customWidth="1"/>
    <col min="12818" max="13069" width="7.6640625" style="151" customWidth="1"/>
    <col min="13070" max="13070" width="14.33203125" style="151" customWidth="1"/>
    <col min="13071" max="13071" width="4" style="151" customWidth="1"/>
    <col min="13072" max="13072" width="14.33203125" style="151" customWidth="1"/>
    <col min="13073" max="13073" width="4" style="151" customWidth="1"/>
    <col min="13074" max="13325" width="7.6640625" style="151" customWidth="1"/>
    <col min="13326" max="13326" width="14.33203125" style="151" customWidth="1"/>
    <col min="13327" max="13327" width="4" style="151" customWidth="1"/>
    <col min="13328" max="13328" width="14.33203125" style="151" customWidth="1"/>
    <col min="13329" max="13329" width="4" style="151" customWidth="1"/>
    <col min="13330" max="13581" width="7.6640625" style="151" customWidth="1"/>
    <col min="13582" max="13582" width="14.33203125" style="151" customWidth="1"/>
    <col min="13583" max="13583" width="4" style="151" customWidth="1"/>
    <col min="13584" max="13584" width="14.33203125" style="151" customWidth="1"/>
    <col min="13585" max="13585" width="4" style="151" customWidth="1"/>
    <col min="13586" max="13837" width="7.6640625" style="151" customWidth="1"/>
    <col min="13838" max="13838" width="14.33203125" style="151" customWidth="1"/>
    <col min="13839" max="13839" width="4" style="151" customWidth="1"/>
    <col min="13840" max="13840" width="14.33203125" style="151" customWidth="1"/>
    <col min="13841" max="13841" width="4" style="151" customWidth="1"/>
    <col min="13842" max="14093" width="7.6640625" style="151" customWidth="1"/>
    <col min="14094" max="14094" width="14.33203125" style="151" customWidth="1"/>
    <col min="14095" max="14095" width="4" style="151" customWidth="1"/>
    <col min="14096" max="14096" width="14.33203125" style="151" customWidth="1"/>
    <col min="14097" max="14097" width="4" style="151" customWidth="1"/>
    <col min="14098" max="14349" width="7.6640625" style="151" customWidth="1"/>
    <col min="14350" max="14350" width="14.33203125" style="151" customWidth="1"/>
    <col min="14351" max="14351" width="4" style="151" customWidth="1"/>
    <col min="14352" max="14352" width="14.33203125" style="151" customWidth="1"/>
    <col min="14353" max="14353" width="4" style="151" customWidth="1"/>
    <col min="14354" max="14605" width="7.6640625" style="151" customWidth="1"/>
    <col min="14606" max="14606" width="14.33203125" style="151" customWidth="1"/>
    <col min="14607" max="14607" width="4" style="151" customWidth="1"/>
    <col min="14608" max="14608" width="14.33203125" style="151" customWidth="1"/>
    <col min="14609" max="14609" width="4" style="151" customWidth="1"/>
    <col min="14610" max="14861" width="7.6640625" style="151" customWidth="1"/>
    <col min="14862" max="14862" width="14.33203125" style="151" customWidth="1"/>
    <col min="14863" max="14863" width="4" style="151" customWidth="1"/>
    <col min="14864" max="14864" width="14.33203125" style="151" customWidth="1"/>
    <col min="14865" max="14865" width="4" style="151" customWidth="1"/>
    <col min="14866" max="15117" width="7.6640625" style="151" customWidth="1"/>
    <col min="15118" max="15118" width="14.33203125" style="151" customWidth="1"/>
    <col min="15119" max="15119" width="4" style="151" customWidth="1"/>
    <col min="15120" max="15120" width="14.33203125" style="151" customWidth="1"/>
    <col min="15121" max="15121" width="4" style="151" customWidth="1"/>
    <col min="15122" max="15373" width="7.6640625" style="151" customWidth="1"/>
    <col min="15374" max="15374" width="14.33203125" style="151" customWidth="1"/>
    <col min="15375" max="15375" width="4" style="151" customWidth="1"/>
    <col min="15376" max="15376" width="14.33203125" style="151" customWidth="1"/>
    <col min="15377" max="15377" width="4" style="151" customWidth="1"/>
    <col min="15378" max="15629" width="7.6640625" style="151" customWidth="1"/>
    <col min="15630" max="15630" width="14.33203125" style="151" customWidth="1"/>
    <col min="15631" max="15631" width="4" style="151" customWidth="1"/>
    <col min="15632" max="15632" width="14.33203125" style="151" customWidth="1"/>
    <col min="15633" max="15633" width="4" style="151" customWidth="1"/>
    <col min="15634" max="15885" width="7.6640625" style="151" customWidth="1"/>
    <col min="15886" max="15886" width="14.33203125" style="151" customWidth="1"/>
    <col min="15887" max="15887" width="4" style="151" customWidth="1"/>
    <col min="15888" max="15888" width="14.33203125" style="151" customWidth="1"/>
    <col min="15889" max="15889" width="4" style="151" customWidth="1"/>
    <col min="15890" max="16141" width="7.6640625" style="151" customWidth="1"/>
    <col min="16142" max="16142" width="14.33203125" style="151" customWidth="1"/>
    <col min="16143" max="16143" width="4" style="151" customWidth="1"/>
    <col min="16144" max="16144" width="14.33203125" style="151" customWidth="1"/>
    <col min="16145" max="16145" width="4" style="151" customWidth="1"/>
    <col min="16146" max="16384" width="7.6640625" style="151" customWidth="1"/>
  </cols>
  <sheetData>
    <row r="1" spans="1:27" ht="15" customHeight="1" x14ac:dyDescent="0.3">
      <c r="A1" s="85" t="s">
        <v>470</v>
      </c>
      <c r="B1" s="39"/>
      <c r="C1" s="39"/>
      <c r="D1" s="39"/>
      <c r="E1" s="39"/>
      <c r="F1" s="39"/>
      <c r="G1" s="39"/>
      <c r="H1" s="39"/>
      <c r="I1" s="39"/>
      <c r="J1" s="39"/>
      <c r="K1" s="39"/>
      <c r="L1" s="39"/>
      <c r="M1" s="39"/>
      <c r="N1" s="39"/>
      <c r="O1" s="186"/>
      <c r="P1" s="39"/>
      <c r="Q1" s="39"/>
      <c r="R1" s="39"/>
      <c r="S1" s="39"/>
      <c r="T1" s="39"/>
      <c r="U1" s="39"/>
      <c r="V1" s="39"/>
      <c r="W1" s="39"/>
      <c r="X1" s="39"/>
      <c r="Y1" s="39"/>
      <c r="Z1" s="39"/>
      <c r="AA1" s="39"/>
    </row>
    <row r="2" spans="1:27" ht="15" customHeight="1" x14ac:dyDescent="0.3">
      <c r="A2" s="7"/>
      <c r="B2" s="589" t="s">
        <v>178</v>
      </c>
      <c r="C2" s="7"/>
      <c r="D2" s="7"/>
      <c r="E2" s="7"/>
      <c r="F2" s="10"/>
      <c r="G2" s="10"/>
      <c r="H2" s="10"/>
      <c r="I2" s="7"/>
      <c r="J2" s="7"/>
      <c r="K2" s="7"/>
      <c r="L2" s="1016"/>
      <c r="M2" s="1016"/>
      <c r="N2" s="7"/>
      <c r="O2" s="1016"/>
      <c r="P2" s="1016"/>
      <c r="Q2" s="7"/>
      <c r="R2" s="7"/>
      <c r="S2" s="7"/>
      <c r="T2" s="7"/>
      <c r="U2" s="7"/>
      <c r="V2" s="7"/>
      <c r="W2" s="7"/>
      <c r="X2" s="7"/>
      <c r="Y2" s="7"/>
      <c r="Z2" s="7"/>
      <c r="AA2" s="7"/>
    </row>
    <row r="3" spans="1:27" ht="15" customHeight="1" x14ac:dyDescent="0.3">
      <c r="A3" s="7"/>
      <c r="B3" s="594" t="str">
        <f>Overview!$B$7</f>
        <v>Grove Park Drive</v>
      </c>
      <c r="C3" s="7"/>
      <c r="D3" s="7"/>
      <c r="E3" s="7"/>
      <c r="F3" s="10"/>
      <c r="G3" s="10"/>
      <c r="H3" s="10"/>
      <c r="I3" s="7"/>
      <c r="J3" s="7"/>
      <c r="K3" s="7"/>
      <c r="L3" s="554"/>
      <c r="M3" s="554"/>
      <c r="N3" s="7"/>
      <c r="O3" s="554"/>
      <c r="P3" s="554"/>
      <c r="Q3" s="7"/>
      <c r="R3" s="7"/>
      <c r="S3" s="7"/>
      <c r="T3" s="7"/>
      <c r="U3" s="7"/>
      <c r="V3" s="7"/>
      <c r="W3" s="7"/>
      <c r="X3" s="7"/>
      <c r="Y3" s="7"/>
      <c r="Z3" s="7"/>
      <c r="AA3" s="7"/>
    </row>
    <row r="4" spans="1:27" ht="15" customHeight="1" x14ac:dyDescent="0.3">
      <c r="A4" s="7"/>
      <c r="B4" s="7"/>
      <c r="C4" s="7"/>
      <c r="D4" s="7"/>
      <c r="E4" s="7"/>
      <c r="F4" s="7"/>
      <c r="G4" s="7"/>
      <c r="H4" s="7"/>
      <c r="I4" s="7"/>
      <c r="J4" s="7"/>
      <c r="K4" s="7"/>
      <c r="L4" s="1016" t="s">
        <v>181</v>
      </c>
      <c r="M4" s="1016"/>
      <c r="N4" s="7"/>
      <c r="O4" s="1016" t="s">
        <v>186</v>
      </c>
      <c r="P4" s="1016"/>
      <c r="Q4" s="7"/>
      <c r="R4" s="7"/>
      <c r="S4" s="7"/>
      <c r="T4" s="7"/>
      <c r="U4" s="7"/>
      <c r="V4" s="7"/>
      <c r="W4" s="7"/>
      <c r="X4" s="7"/>
      <c r="Y4" s="7"/>
      <c r="Z4" s="7"/>
      <c r="AA4" s="7"/>
    </row>
    <row r="5" spans="1:27" ht="15" customHeight="1" x14ac:dyDescent="0.25">
      <c r="A5" s="7"/>
      <c r="B5" s="18" t="s">
        <v>101</v>
      </c>
      <c r="C5" s="7"/>
      <c r="D5" s="7"/>
      <c r="E5" s="7"/>
      <c r="F5" s="7"/>
      <c r="G5" s="7"/>
      <c r="H5" s="7"/>
      <c r="I5" s="1022">
        <v>30</v>
      </c>
      <c r="J5" s="1022"/>
      <c r="K5" s="7"/>
      <c r="L5" s="1026">
        <v>0.05</v>
      </c>
      <c r="M5" s="1027"/>
      <c r="N5" s="81"/>
      <c r="O5" s="1024">
        <v>2.4E-2</v>
      </c>
      <c r="P5" s="1025"/>
      <c r="Q5" s="7"/>
      <c r="R5" s="18" t="s">
        <v>16</v>
      </c>
      <c r="S5" s="7"/>
      <c r="T5" s="7"/>
      <c r="U5" s="7"/>
      <c r="V5" s="7"/>
      <c r="W5" s="1028" t="s">
        <v>32</v>
      </c>
      <c r="X5" s="1029"/>
      <c r="Y5" s="22"/>
      <c r="Z5" s="7"/>
      <c r="AA5" s="7"/>
    </row>
    <row r="6" spans="1:27" ht="15" customHeight="1" x14ac:dyDescent="0.25">
      <c r="A6" s="7"/>
      <c r="B6" s="18"/>
      <c r="C6" s="7"/>
      <c r="D6" s="7"/>
      <c r="E6" s="7"/>
      <c r="F6" s="7"/>
      <c r="G6" s="7"/>
      <c r="H6" s="7"/>
      <c r="I6" s="595"/>
      <c r="J6" s="595"/>
      <c r="K6" s="7"/>
      <c r="L6" s="1021" t="s">
        <v>185</v>
      </c>
      <c r="M6" s="1021"/>
      <c r="N6" s="81"/>
      <c r="O6" s="14" t="s">
        <v>187</v>
      </c>
      <c r="P6" s="596"/>
      <c r="Q6" s="7"/>
      <c r="R6" s="584"/>
      <c r="S6" s="7"/>
      <c r="T6" s="7"/>
      <c r="U6" s="7"/>
      <c r="V6" s="7"/>
      <c r="W6" s="554"/>
      <c r="X6" s="554"/>
      <c r="Y6" s="22"/>
      <c r="Z6" s="7"/>
      <c r="AA6" s="7"/>
    </row>
    <row r="7" spans="1:27" ht="15" customHeight="1" x14ac:dyDescent="0.25">
      <c r="A7" s="7"/>
      <c r="B7" s="607" t="s">
        <v>295</v>
      </c>
      <c r="C7" s="7"/>
      <c r="D7" s="7"/>
      <c r="E7" s="7"/>
      <c r="F7" s="7"/>
      <c r="G7" s="7"/>
      <c r="H7" s="7"/>
      <c r="I7" s="1022">
        <f>'Operational Expenditure'!J66</f>
        <v>21.350369370165694</v>
      </c>
      <c r="J7" s="1022"/>
      <c r="K7" s="7"/>
      <c r="L7" s="7"/>
      <c r="M7" s="7"/>
      <c r="N7" s="7"/>
      <c r="O7" s="22"/>
      <c r="P7" s="7"/>
      <c r="Q7" s="7"/>
      <c r="R7" s="7" t="s">
        <v>137</v>
      </c>
      <c r="S7" s="7"/>
      <c r="T7" s="7"/>
      <c r="U7" s="7"/>
      <c r="V7" s="7"/>
      <c r="W7" s="1028" t="s">
        <v>121</v>
      </c>
      <c r="X7" s="1029"/>
      <c r="Y7" s="7"/>
      <c r="Z7" s="7"/>
      <c r="AA7" s="7"/>
    </row>
    <row r="8" spans="1:27" ht="15" customHeight="1" x14ac:dyDescent="0.25">
      <c r="A8" s="7"/>
      <c r="B8" s="607"/>
      <c r="C8" s="7"/>
      <c r="D8" s="7"/>
      <c r="E8" s="7"/>
      <c r="F8" s="7"/>
      <c r="G8" s="7"/>
      <c r="H8" s="7"/>
      <c r="I8" s="597"/>
      <c r="J8" s="554"/>
      <c r="K8" s="7"/>
      <c r="L8" s="7"/>
      <c r="M8" s="7"/>
      <c r="N8" s="7"/>
      <c r="O8" s="22"/>
      <c r="P8" s="7"/>
      <c r="Q8" s="7"/>
      <c r="R8" s="584"/>
      <c r="S8" s="7"/>
      <c r="T8" s="7"/>
      <c r="U8" s="7"/>
      <c r="V8" s="7"/>
      <c r="W8" s="554"/>
      <c r="X8" s="554"/>
      <c r="Y8" s="7"/>
      <c r="Z8" s="7"/>
      <c r="AA8" s="7"/>
    </row>
    <row r="9" spans="1:27" ht="15" customHeight="1" x14ac:dyDescent="0.25">
      <c r="A9" s="7"/>
      <c r="B9" s="607" t="s">
        <v>498</v>
      </c>
      <c r="C9" s="7"/>
      <c r="D9" s="7"/>
      <c r="E9" s="7"/>
      <c r="F9" s="7"/>
      <c r="G9" s="7"/>
      <c r="H9" s="7"/>
      <c r="I9" s="1023">
        <f>IF(I38="Central",HLOOKUP(I21,'NtpM Capitalisation'!AE52:AQ53,2),IF(I38="Low",HLOOKUP(I21,'NtpM Capitalisation'!R52:AD53,2),IF(I38="High",HLOOKUP(I21,'NtpM Capitalisation'!AR52:BD53,2))))</f>
        <v>34.30573746000001</v>
      </c>
      <c r="J9" s="1023"/>
      <c r="K9" s="7"/>
      <c r="L9" s="7"/>
      <c r="M9" s="7"/>
      <c r="N9" s="7"/>
      <c r="O9" s="22"/>
      <c r="P9" s="7"/>
      <c r="Q9" s="7"/>
      <c r="R9" s="607" t="s">
        <v>104</v>
      </c>
      <c r="S9" s="7"/>
      <c r="T9" s="7"/>
      <c r="U9" s="7"/>
      <c r="V9" s="7"/>
      <c r="W9" s="1016">
        <f>VLOOKUP(Overview!E26,'Lighting Data'!$B$9:$L$17,MATCH(W5,'Lighting Data'!B7:L7,0),FALSE)</f>
        <v>56</v>
      </c>
      <c r="X9" s="1016"/>
      <c r="Y9" s="7"/>
      <c r="Z9" s="7"/>
      <c r="AA9" s="7"/>
    </row>
    <row r="10" spans="1:27" ht="15" customHeight="1" x14ac:dyDescent="0.25">
      <c r="A10" s="7"/>
      <c r="C10" s="7"/>
      <c r="D10" s="7"/>
      <c r="E10" s="7"/>
      <c r="F10" s="7"/>
      <c r="G10" s="7"/>
      <c r="H10" s="7"/>
      <c r="I10" s="597"/>
      <c r="J10" s="554"/>
      <c r="K10" s="7"/>
      <c r="L10" s="7"/>
      <c r="M10" s="7"/>
      <c r="N10" s="7"/>
      <c r="O10" s="22"/>
      <c r="P10" s="7"/>
      <c r="Q10" s="7"/>
      <c r="R10" s="584"/>
      <c r="S10" s="7"/>
      <c r="T10" s="7"/>
      <c r="U10" s="7"/>
      <c r="V10" s="7"/>
      <c r="W10" s="554"/>
      <c r="X10" s="554"/>
      <c r="Y10" s="7"/>
      <c r="Z10" s="7"/>
      <c r="AA10" s="7"/>
    </row>
    <row r="11" spans="1:27" ht="15" customHeight="1" x14ac:dyDescent="0.25">
      <c r="A11" s="7"/>
      <c r="B11" s="607" t="s">
        <v>296</v>
      </c>
      <c r="C11" s="7"/>
      <c r="D11" s="7"/>
      <c r="E11" s="7"/>
      <c r="F11" s="7"/>
      <c r="G11" s="7"/>
      <c r="H11" s="7"/>
      <c r="I11" s="1023">
        <f>IF(I38="Central",HLOOKUP(I21,'NtpM Capitalisation'!BL52:BX53,2),IF(I38="Low",HLOOKUP(I21,'NtpM Capitalisation'!BY52:CK53,2),IF(I38="High",HLOOKUP(I21,'NtpM Capitalisation'!CM52:CY53,2))))</f>
        <v>18.366851342766203</v>
      </c>
      <c r="J11" s="1023"/>
      <c r="K11" s="6"/>
      <c r="L11" s="7"/>
      <c r="M11" s="7"/>
      <c r="N11" s="7"/>
      <c r="O11" s="22"/>
      <c r="P11" s="7"/>
      <c r="Q11" s="7"/>
      <c r="R11" s="18" t="s">
        <v>177</v>
      </c>
      <c r="S11" s="7"/>
      <c r="T11" s="7"/>
      <c r="U11" s="7"/>
      <c r="V11" s="7"/>
      <c r="W11" s="1030">
        <f>VLOOKUP(Overview!E26,'Lighting Data'!B23:L31,MATCH(W5,'Lighting Data'!B21:L21,0),FALSE)</f>
        <v>171</v>
      </c>
      <c r="X11" s="1030"/>
      <c r="Y11" s="7"/>
      <c r="Z11" s="7"/>
      <c r="AA11" s="7"/>
    </row>
    <row r="12" spans="1:27" ht="15" customHeight="1" x14ac:dyDescent="0.25">
      <c r="A12" s="7"/>
      <c r="B12" s="607"/>
      <c r="C12" s="7"/>
      <c r="D12" s="7"/>
      <c r="E12" s="7"/>
      <c r="F12" s="7"/>
      <c r="G12" s="7"/>
      <c r="H12" s="7"/>
      <c r="I12" s="7"/>
      <c r="J12" s="7"/>
      <c r="K12" s="7"/>
      <c r="L12" s="7"/>
      <c r="M12" s="7"/>
      <c r="N12" s="7"/>
      <c r="O12" s="22"/>
      <c r="P12" s="7"/>
      <c r="Q12" s="7"/>
      <c r="R12" s="584"/>
      <c r="S12" s="7"/>
      <c r="T12" s="7"/>
      <c r="U12" s="7"/>
      <c r="V12" s="7"/>
      <c r="W12" s="554"/>
      <c r="X12" s="554"/>
      <c r="Y12" s="7"/>
      <c r="Z12" s="7"/>
      <c r="AA12" s="7"/>
    </row>
    <row r="13" spans="1:27" ht="15" customHeight="1" x14ac:dyDescent="0.25">
      <c r="A13" s="7"/>
      <c r="B13" s="18" t="s">
        <v>11</v>
      </c>
      <c r="C13" s="7"/>
      <c r="D13" s="7"/>
      <c r="E13" s="7"/>
      <c r="F13" s="7"/>
      <c r="G13" s="7"/>
      <c r="H13" s="7"/>
      <c r="I13" s="1016">
        <v>365</v>
      </c>
      <c r="J13" s="1016"/>
      <c r="K13" s="7"/>
      <c r="L13" s="1019" t="s">
        <v>136</v>
      </c>
      <c r="M13" s="1019"/>
      <c r="N13" s="7"/>
      <c r="O13" s="1019" t="s">
        <v>273</v>
      </c>
      <c r="P13" s="1019"/>
      <c r="Q13" s="7"/>
      <c r="R13" s="18" t="s">
        <v>320</v>
      </c>
      <c r="S13" s="7"/>
      <c r="T13" s="7"/>
      <c r="U13" s="7"/>
      <c r="V13" s="7"/>
      <c r="W13" s="1028">
        <v>1000</v>
      </c>
      <c r="X13" s="1029"/>
      <c r="Y13" s="7"/>
      <c r="Z13" s="7"/>
      <c r="AA13" s="7"/>
    </row>
    <row r="14" spans="1:27" ht="15" customHeight="1" x14ac:dyDescent="0.25">
      <c r="A14" s="7"/>
      <c r="B14" s="607"/>
      <c r="C14" s="7"/>
      <c r="D14" s="7"/>
      <c r="E14" s="7"/>
      <c r="F14" s="7"/>
      <c r="G14" s="7"/>
      <c r="H14" s="7"/>
      <c r="I14" s="554"/>
      <c r="J14" s="554"/>
      <c r="K14" s="7"/>
      <c r="L14" s="1019"/>
      <c r="M14" s="1019"/>
      <c r="N14" s="7"/>
      <c r="O14" s="1019"/>
      <c r="P14" s="1019"/>
      <c r="Q14" s="7"/>
      <c r="R14" s="7"/>
      <c r="S14" s="7"/>
      <c r="T14" s="7"/>
      <c r="U14" s="7"/>
      <c r="V14" s="7"/>
      <c r="W14" s="7"/>
      <c r="X14" s="7"/>
      <c r="Y14" s="7"/>
      <c r="Z14" s="7"/>
      <c r="AA14" s="7"/>
    </row>
    <row r="15" spans="1:27" ht="15" customHeight="1" x14ac:dyDescent="0.25">
      <c r="A15" s="7"/>
      <c r="B15" s="18" t="s">
        <v>360</v>
      </c>
      <c r="C15" s="7"/>
      <c r="D15" s="7"/>
      <c r="E15" s="7"/>
      <c r="F15" s="7"/>
      <c r="G15" s="7"/>
      <c r="H15" s="7"/>
      <c r="I15" s="1016">
        <v>2011</v>
      </c>
      <c r="J15" s="1016"/>
      <c r="K15" s="7"/>
      <c r="L15" s="1018" t="s">
        <v>74</v>
      </c>
      <c r="M15" s="1018"/>
      <c r="N15" s="7"/>
      <c r="O15" s="1020">
        <f>'Reference Tables'!C8</f>
        <v>99.4</v>
      </c>
      <c r="P15" s="1020"/>
      <c r="Q15" s="7"/>
      <c r="R15" s="7" t="s">
        <v>313</v>
      </c>
      <c r="S15" s="7"/>
      <c r="T15" s="7"/>
      <c r="U15" s="7"/>
      <c r="V15" s="7"/>
      <c r="W15" s="1036">
        <v>25</v>
      </c>
      <c r="X15" s="1037"/>
      <c r="Y15" s="7"/>
      <c r="Z15" s="7"/>
      <c r="AA15" s="7"/>
    </row>
    <row r="16" spans="1:27" ht="15" customHeight="1" x14ac:dyDescent="0.25">
      <c r="A16" s="7"/>
      <c r="B16" s="607"/>
      <c r="C16" s="7"/>
      <c r="D16" s="7"/>
      <c r="E16" s="7"/>
      <c r="F16" s="7"/>
      <c r="G16" s="7"/>
      <c r="H16" s="7"/>
      <c r="I16" s="554"/>
      <c r="J16" s="554"/>
      <c r="K16" s="7"/>
      <c r="L16" s="275"/>
      <c r="M16" s="554"/>
      <c r="N16" s="7"/>
      <c r="O16" s="554"/>
      <c r="P16" s="554"/>
      <c r="Q16" s="7"/>
      <c r="R16" s="584"/>
      <c r="S16" s="7"/>
      <c r="T16" s="7"/>
      <c r="U16" s="7"/>
      <c r="V16" s="7"/>
      <c r="W16" s="554"/>
      <c r="X16" s="554"/>
      <c r="Y16" s="7"/>
      <c r="Z16" s="7"/>
      <c r="AA16" s="7"/>
    </row>
    <row r="17" spans="1:29" ht="15" customHeight="1" x14ac:dyDescent="0.25">
      <c r="A17" s="7"/>
      <c r="B17" s="18" t="s">
        <v>12</v>
      </c>
      <c r="C17" s="7"/>
      <c r="D17" s="7"/>
      <c r="E17" s="7"/>
      <c r="F17" s="7"/>
      <c r="G17" s="7"/>
      <c r="H17" s="7"/>
      <c r="I17" s="1028">
        <v>2016</v>
      </c>
      <c r="J17" s="1029"/>
      <c r="K17" s="7"/>
      <c r="L17" s="1018">
        <f>VLOOKUP(I17,'Reference Tables'!B36:E63,4,FALSE)</f>
        <v>0.78352616646845896</v>
      </c>
      <c r="M17" s="1018"/>
      <c r="N17" s="7"/>
      <c r="O17" s="1020">
        <f>VLOOKUP(I17,'Reference Tables'!B7:C28,2,FALSE)</f>
        <v>101.5</v>
      </c>
      <c r="P17" s="1020"/>
      <c r="Q17" s="7"/>
      <c r="R17" s="607" t="s">
        <v>171</v>
      </c>
      <c r="S17" s="7"/>
      <c r="T17" s="7"/>
      <c r="U17" s="7"/>
      <c r="V17" s="7"/>
      <c r="W17" s="1036">
        <v>0.13</v>
      </c>
      <c r="X17" s="1037"/>
      <c r="Y17" s="22"/>
      <c r="Z17" s="7"/>
      <c r="AA17" s="7"/>
    </row>
    <row r="18" spans="1:29" ht="15" customHeight="1" x14ac:dyDescent="0.25">
      <c r="A18" s="7"/>
      <c r="B18" s="607"/>
      <c r="C18" s="7"/>
      <c r="D18" s="7"/>
      <c r="E18" s="7"/>
      <c r="F18" s="7"/>
      <c r="G18" s="7"/>
      <c r="H18" s="7"/>
      <c r="I18" s="554"/>
      <c r="J18" s="554"/>
      <c r="K18" s="7"/>
      <c r="L18" s="554"/>
      <c r="M18" s="554"/>
      <c r="N18" s="7"/>
      <c r="O18" s="276"/>
      <c r="P18" s="554"/>
      <c r="Q18" s="7"/>
      <c r="R18" s="7"/>
      <c r="S18" s="7"/>
      <c r="T18" s="7"/>
      <c r="U18" s="7"/>
      <c r="V18" s="7"/>
      <c r="W18" s="554"/>
      <c r="X18" s="549"/>
      <c r="Y18" s="7"/>
      <c r="Z18" s="7"/>
      <c r="AA18" s="7"/>
    </row>
    <row r="19" spans="1:29" ht="15" customHeight="1" x14ac:dyDescent="0.25">
      <c r="A19" s="7"/>
      <c r="B19" s="18" t="s">
        <v>13</v>
      </c>
      <c r="C19" s="7"/>
      <c r="D19" s="7"/>
      <c r="E19" s="7"/>
      <c r="F19" s="7"/>
      <c r="G19" s="7"/>
      <c r="H19" s="7"/>
      <c r="I19" s="1028">
        <v>2019</v>
      </c>
      <c r="J19" s="1029"/>
      <c r="K19" s="7"/>
      <c r="L19" s="1018">
        <f>VLOOKUP(I19,'Reference Tables'!B36:E63,4,FALSE)</f>
        <v>0.67683936202868722</v>
      </c>
      <c r="M19" s="1018"/>
      <c r="N19" s="7"/>
      <c r="O19" s="1030">
        <f>VLOOKUP(I19,'Reference Tables'!B11:C30,2,FALSE)</f>
        <v>102.9</v>
      </c>
      <c r="P19" s="1030"/>
      <c r="R19" s="81" t="s">
        <v>312</v>
      </c>
      <c r="S19" s="81"/>
      <c r="T19" s="81"/>
      <c r="U19" s="81"/>
      <c r="V19" s="81"/>
      <c r="W19" s="1041">
        <f>VLOOKUP($W$7,'Energy Calculations'!C18:J31,3,FALSE)</f>
        <v>844174.47857142868</v>
      </c>
      <c r="X19" s="1041"/>
      <c r="Y19" s="22"/>
      <c r="Z19" s="7"/>
      <c r="AA19" s="7"/>
    </row>
    <row r="20" spans="1:29" ht="15" customHeight="1" x14ac:dyDescent="0.25">
      <c r="A20" s="7"/>
      <c r="B20" s="18"/>
      <c r="C20" s="7"/>
      <c r="D20" s="7"/>
      <c r="E20" s="7"/>
      <c r="F20" s="7"/>
      <c r="G20" s="7"/>
      <c r="H20" s="7"/>
      <c r="I20" s="554"/>
      <c r="J20" s="554"/>
      <c r="K20" s="7"/>
      <c r="L20" s="554"/>
      <c r="M20" s="554"/>
      <c r="N20" s="7"/>
      <c r="O20" s="554"/>
      <c r="P20" s="554"/>
      <c r="Q20" s="7"/>
      <c r="R20" s="7"/>
      <c r="S20" s="7"/>
      <c r="T20" s="7"/>
      <c r="U20" s="7"/>
      <c r="V20" s="7"/>
      <c r="W20" s="7"/>
      <c r="X20" s="7"/>
      <c r="Y20" s="7"/>
      <c r="Z20" s="7"/>
      <c r="AA20" s="7"/>
    </row>
    <row r="21" spans="1:29" ht="15" customHeight="1" x14ac:dyDescent="0.25">
      <c r="A21" s="7"/>
      <c r="B21" s="18" t="s">
        <v>14</v>
      </c>
      <c r="C21" s="7"/>
      <c r="D21" s="7"/>
      <c r="E21" s="7"/>
      <c r="F21" s="7"/>
      <c r="G21" s="7"/>
      <c r="H21" s="7"/>
      <c r="I21" s="1028">
        <v>2021</v>
      </c>
      <c r="J21" s="1029"/>
      <c r="K21" s="7"/>
      <c r="L21" s="1018">
        <f>VLOOKUP(I21,'Reference Tables'!B36:E63,4,FALSE)</f>
        <v>0.61391325354075932</v>
      </c>
      <c r="M21" s="1018"/>
      <c r="N21" s="7"/>
      <c r="O21" s="1030">
        <f>VLOOKUP(I21,'Reference Tables'!B13:C32,2,FALSE)</f>
        <v>103.9</v>
      </c>
      <c r="P21" s="1030"/>
      <c r="Q21" s="7"/>
      <c r="R21" s="7" t="s">
        <v>317</v>
      </c>
      <c r="S21" s="7"/>
      <c r="T21" s="1021" t="s">
        <v>493</v>
      </c>
      <c r="U21" s="1021"/>
      <c r="V21" s="7"/>
      <c r="W21" s="1036">
        <v>0</v>
      </c>
      <c r="X21" s="1037"/>
      <c r="Y21" s="7"/>
      <c r="Z21" s="7"/>
      <c r="AA21" s="7"/>
    </row>
    <row r="22" spans="1:29" ht="15" customHeight="1" x14ac:dyDescent="0.3">
      <c r="A22" s="81"/>
      <c r="B22" s="81"/>
      <c r="C22" s="81"/>
      <c r="D22" s="81"/>
      <c r="E22" s="81"/>
      <c r="F22" s="81"/>
      <c r="G22" s="81"/>
      <c r="H22" s="81"/>
      <c r="I22" s="81"/>
      <c r="J22" s="81"/>
      <c r="K22" s="81"/>
      <c r="L22" s="549"/>
      <c r="M22" s="549"/>
      <c r="N22" s="81"/>
      <c r="O22" s="81"/>
      <c r="P22" s="81"/>
      <c r="Q22" s="81"/>
      <c r="R22" s="81"/>
      <c r="S22" s="81"/>
      <c r="T22" s="81"/>
      <c r="U22" s="81"/>
      <c r="V22" s="81"/>
      <c r="W22" s="81"/>
      <c r="X22" s="81"/>
      <c r="Y22" s="81"/>
      <c r="Z22" s="81"/>
      <c r="AA22" s="81"/>
      <c r="AB22" s="539"/>
      <c r="AC22" s="598"/>
    </row>
    <row r="23" spans="1:29" ht="15" customHeight="1" x14ac:dyDescent="0.25">
      <c r="A23" s="81"/>
      <c r="B23" s="81"/>
      <c r="C23" s="81"/>
      <c r="D23" s="81"/>
      <c r="E23" s="81"/>
      <c r="F23" s="81"/>
      <c r="G23" s="81"/>
      <c r="H23" s="81"/>
      <c r="I23" s="81"/>
      <c r="J23" s="81"/>
      <c r="K23" s="81"/>
      <c r="L23" s="549"/>
      <c r="M23" s="549"/>
      <c r="N23" s="81"/>
      <c r="O23" s="81"/>
      <c r="P23" s="81"/>
      <c r="Q23" s="81"/>
      <c r="R23" s="18" t="s">
        <v>454</v>
      </c>
      <c r="S23" s="7"/>
      <c r="T23" s="7"/>
      <c r="U23" s="7"/>
      <c r="V23" s="7"/>
      <c r="W23" s="1038">
        <v>6</v>
      </c>
      <c r="X23" s="1039"/>
      <c r="Y23" s="81"/>
      <c r="Z23" s="81"/>
      <c r="AA23" s="81"/>
      <c r="AB23" s="539"/>
      <c r="AC23" s="598"/>
    </row>
    <row r="24" spans="1:29" ht="15" customHeight="1" x14ac:dyDescent="0.3">
      <c r="A24" s="81"/>
      <c r="B24" s="770"/>
      <c r="C24" s="81"/>
      <c r="D24" s="81"/>
      <c r="E24" s="81"/>
      <c r="F24" s="81"/>
      <c r="G24" s="81"/>
      <c r="H24" s="81"/>
      <c r="I24" s="81"/>
      <c r="J24" s="81"/>
      <c r="K24" s="81"/>
      <c r="L24" s="549"/>
      <c r="M24" s="549"/>
      <c r="N24" s="81"/>
      <c r="O24" s="81"/>
      <c r="P24" s="81"/>
      <c r="Q24" s="81"/>
      <c r="R24" s="81"/>
      <c r="S24" s="81"/>
      <c r="T24" s="81"/>
      <c r="U24" s="81"/>
      <c r="V24" s="81"/>
      <c r="W24" s="81" t="s">
        <v>385</v>
      </c>
      <c r="X24" s="81"/>
      <c r="Y24" s="81"/>
      <c r="Z24" s="81"/>
      <c r="AA24" s="81"/>
      <c r="AB24" s="539"/>
      <c r="AC24" s="598"/>
    </row>
    <row r="25" spans="1:29" ht="15" customHeight="1" x14ac:dyDescent="0.25">
      <c r="A25" s="81"/>
      <c r="B25" s="81"/>
      <c r="C25" s="81"/>
      <c r="D25" s="81"/>
      <c r="E25" s="81"/>
      <c r="F25" s="81"/>
      <c r="G25" s="81"/>
      <c r="H25" s="81"/>
      <c r="I25" s="81"/>
      <c r="J25" s="81"/>
      <c r="K25" s="81"/>
      <c r="L25" s="549"/>
      <c r="M25" s="549"/>
      <c r="N25" s="81"/>
      <c r="O25" s="81"/>
      <c r="P25" s="81"/>
      <c r="Q25" s="81"/>
      <c r="R25" s="18" t="s">
        <v>386</v>
      </c>
      <c r="S25" s="7"/>
      <c r="T25" s="7"/>
      <c r="U25" s="7"/>
      <c r="V25" s="7"/>
      <c r="W25" s="1028">
        <v>4100</v>
      </c>
      <c r="X25" s="1029"/>
      <c r="Y25" s="81"/>
      <c r="Z25" s="81"/>
      <c r="AA25" s="81"/>
      <c r="AB25" s="539"/>
      <c r="AC25" s="598"/>
    </row>
    <row r="26" spans="1:29" ht="15" customHeight="1" x14ac:dyDescent="0.3">
      <c r="A26" s="81"/>
      <c r="B26" s="81"/>
      <c r="C26" s="81"/>
      <c r="D26" s="81"/>
      <c r="E26" s="81"/>
      <c r="F26" s="81"/>
      <c r="G26" s="81"/>
      <c r="H26" s="81"/>
      <c r="I26" s="81"/>
      <c r="J26" s="81"/>
      <c r="K26" s="81"/>
      <c r="L26" s="549"/>
      <c r="M26" s="549"/>
      <c r="N26" s="81"/>
      <c r="O26" s="81"/>
      <c r="P26" s="81"/>
      <c r="Q26" s="81"/>
      <c r="R26" s="81"/>
      <c r="S26" s="81"/>
      <c r="T26" s="81"/>
      <c r="U26" s="81"/>
      <c r="V26" s="81"/>
      <c r="W26" s="1021" t="s">
        <v>387</v>
      </c>
      <c r="X26" s="1021"/>
      <c r="Y26" s="81"/>
      <c r="Z26" s="81"/>
      <c r="AA26" s="81"/>
      <c r="AB26" s="539"/>
      <c r="AC26" s="598"/>
    </row>
    <row r="27" spans="1:29" ht="15" customHeight="1" x14ac:dyDescent="0.3">
      <c r="A27" s="81"/>
      <c r="B27" s="81"/>
      <c r="C27" s="81"/>
      <c r="D27" s="81"/>
      <c r="E27" s="81"/>
      <c r="F27" s="81"/>
      <c r="G27" s="81"/>
      <c r="H27" s="81"/>
      <c r="I27" s="81"/>
      <c r="J27" s="81"/>
      <c r="K27" s="81"/>
      <c r="L27" s="549"/>
      <c r="M27" s="549"/>
      <c r="N27" s="81"/>
      <c r="O27" s="81"/>
      <c r="P27" s="81"/>
      <c r="Q27" s="81"/>
      <c r="R27" s="81"/>
      <c r="S27" s="81"/>
      <c r="T27" s="81"/>
      <c r="U27" s="81"/>
      <c r="V27" s="81"/>
      <c r="W27" s="81"/>
      <c r="X27" s="81"/>
      <c r="Y27" s="81"/>
      <c r="Z27" s="81"/>
      <c r="AA27" s="81"/>
      <c r="AB27" s="539"/>
      <c r="AC27" s="598"/>
    </row>
    <row r="28" spans="1:29" ht="15" customHeight="1" x14ac:dyDescent="0.3">
      <c r="A28" s="81"/>
      <c r="B28" s="81"/>
      <c r="C28" s="81"/>
      <c r="D28" s="81"/>
      <c r="E28" s="81"/>
      <c r="F28" s="81"/>
      <c r="G28" s="81"/>
      <c r="H28" s="81"/>
      <c r="I28" s="81"/>
      <c r="J28" s="81"/>
      <c r="K28" s="81"/>
      <c r="L28" s="549"/>
      <c r="M28" s="549"/>
      <c r="N28" s="81"/>
      <c r="O28" s="81"/>
      <c r="P28" s="81"/>
      <c r="Q28" s="81"/>
      <c r="R28" s="81"/>
      <c r="S28" s="81"/>
      <c r="T28" s="81"/>
      <c r="U28" s="81"/>
      <c r="V28" s="81"/>
      <c r="W28" s="81"/>
      <c r="X28" s="81"/>
      <c r="Y28" s="81"/>
      <c r="Z28" s="81"/>
      <c r="AA28" s="81"/>
      <c r="AB28" s="539"/>
      <c r="AC28" s="598"/>
    </row>
    <row r="29" spans="1:29" ht="15" customHeight="1" x14ac:dyDescent="0.3">
      <c r="A29" s="81"/>
      <c r="B29" s="81"/>
      <c r="C29" s="81"/>
      <c r="D29" s="81"/>
      <c r="E29" s="81"/>
      <c r="F29" s="81"/>
      <c r="G29" s="81"/>
      <c r="H29" s="81"/>
      <c r="I29" s="81"/>
      <c r="J29" s="81"/>
      <c r="K29" s="81"/>
      <c r="L29" s="549"/>
      <c r="M29" s="549"/>
      <c r="N29" s="81"/>
      <c r="O29" s="81"/>
      <c r="P29" s="81"/>
      <c r="Q29" s="81"/>
      <c r="R29" s="81"/>
      <c r="S29" s="81"/>
      <c r="T29" s="81"/>
      <c r="U29" s="81"/>
      <c r="V29" s="81"/>
      <c r="W29" s="81"/>
      <c r="X29" s="81"/>
      <c r="Y29" s="81"/>
      <c r="Z29" s="81"/>
      <c r="AA29" s="81"/>
      <c r="AB29" s="539"/>
      <c r="AC29" s="598"/>
    </row>
    <row r="30" spans="1:29" ht="15" customHeight="1" x14ac:dyDescent="0.3">
      <c r="A30" s="81"/>
      <c r="B30" s="81"/>
      <c r="C30" s="81"/>
      <c r="D30" s="81"/>
      <c r="E30" s="81"/>
      <c r="F30" s="81"/>
      <c r="G30" s="81"/>
      <c r="H30" s="81"/>
      <c r="I30" s="81"/>
      <c r="J30" s="81"/>
      <c r="K30" s="81"/>
      <c r="L30" s="549"/>
      <c r="M30" s="549"/>
      <c r="N30" s="81"/>
      <c r="O30" s="81"/>
      <c r="P30" s="81"/>
      <c r="Q30" s="81"/>
      <c r="R30" s="81"/>
      <c r="S30" s="81"/>
      <c r="T30" s="81"/>
      <c r="U30" s="81"/>
      <c r="V30" s="81"/>
      <c r="W30" s="81"/>
      <c r="X30" s="81"/>
      <c r="Y30" s="81"/>
      <c r="Z30" s="81"/>
      <c r="AA30" s="81"/>
      <c r="AB30" s="539"/>
      <c r="AC30" s="598"/>
    </row>
    <row r="31" spans="1:29" ht="15" customHeight="1" x14ac:dyDescent="0.3">
      <c r="A31" s="81"/>
      <c r="B31" s="81"/>
      <c r="C31" s="81"/>
      <c r="D31" s="81"/>
      <c r="E31" s="81"/>
      <c r="F31" s="81"/>
      <c r="G31" s="81"/>
      <c r="H31" s="81"/>
      <c r="I31" s="81"/>
      <c r="J31" s="81"/>
      <c r="K31" s="81"/>
      <c r="L31" s="549"/>
      <c r="M31" s="549"/>
      <c r="N31" s="81"/>
      <c r="O31" s="81"/>
      <c r="P31" s="81"/>
      <c r="Q31" s="81"/>
      <c r="R31" s="81"/>
      <c r="S31" s="81"/>
      <c r="T31" s="81"/>
      <c r="U31" s="81"/>
      <c r="V31" s="81"/>
      <c r="W31" s="81"/>
      <c r="X31" s="81"/>
      <c r="Y31" s="81"/>
      <c r="Z31" s="81"/>
      <c r="AA31" s="81"/>
      <c r="AB31" s="539"/>
      <c r="AC31" s="598"/>
    </row>
    <row r="32" spans="1:29" ht="15" customHeight="1" x14ac:dyDescent="0.3">
      <c r="A32" s="590"/>
      <c r="B32" s="590"/>
      <c r="C32" s="590"/>
      <c r="D32" s="590"/>
      <c r="E32" s="590"/>
      <c r="F32" s="590"/>
      <c r="G32" s="590"/>
      <c r="H32" s="590"/>
      <c r="I32" s="590"/>
      <c r="J32" s="590"/>
      <c r="K32" s="590"/>
      <c r="L32" s="599"/>
      <c r="M32" s="599"/>
      <c r="N32" s="590"/>
      <c r="O32" s="590"/>
      <c r="P32" s="590"/>
      <c r="Q32" s="590"/>
      <c r="R32" s="590"/>
      <c r="S32" s="590"/>
      <c r="T32" s="590"/>
      <c r="U32" s="590"/>
      <c r="V32" s="590"/>
      <c r="W32" s="590"/>
      <c r="X32" s="590"/>
      <c r="Y32" s="590"/>
      <c r="Z32" s="590"/>
      <c r="AA32" s="590"/>
      <c r="AB32" s="539"/>
      <c r="AC32" s="598"/>
    </row>
    <row r="33" spans="1:29" ht="15" customHeight="1" x14ac:dyDescent="0.3">
      <c r="A33" s="39"/>
      <c r="B33" s="39"/>
      <c r="C33" s="39"/>
      <c r="D33" s="39"/>
      <c r="E33" s="39"/>
      <c r="F33" s="39"/>
      <c r="G33" s="39"/>
      <c r="H33" s="39"/>
      <c r="I33" s="39"/>
      <c r="J33" s="39"/>
      <c r="K33" s="39"/>
      <c r="L33" s="600"/>
      <c r="M33" s="600"/>
      <c r="N33" s="39"/>
      <c r="O33" s="39"/>
      <c r="P33" s="39"/>
      <c r="Q33" s="39"/>
      <c r="R33" s="39"/>
      <c r="S33" s="39"/>
      <c r="T33" s="39"/>
      <c r="U33" s="39"/>
      <c r="V33" s="39"/>
      <c r="W33" s="39"/>
      <c r="X33" s="39"/>
      <c r="Y33" s="39"/>
      <c r="Z33" s="39"/>
      <c r="AA33" s="39"/>
      <c r="AB33" s="539"/>
      <c r="AC33" s="598"/>
    </row>
    <row r="34" spans="1:29" ht="15" customHeight="1" x14ac:dyDescent="0.25">
      <c r="A34" s="7"/>
      <c r="B34" s="584" t="s">
        <v>41</v>
      </c>
      <c r="C34" s="7"/>
      <c r="D34" s="7"/>
      <c r="E34" s="7"/>
      <c r="F34" s="7"/>
      <c r="G34" s="7"/>
      <c r="H34" s="7"/>
      <c r="I34" s="1031">
        <v>0.1</v>
      </c>
      <c r="J34" s="1032"/>
      <c r="K34" s="22"/>
      <c r="L34" s="7"/>
      <c r="M34" s="7"/>
      <c r="N34" s="7"/>
      <c r="O34" s="1033" t="s">
        <v>18</v>
      </c>
      <c r="P34" s="1033"/>
      <c r="Q34" s="1033"/>
      <c r="R34" s="1033"/>
      <c r="S34" s="1033"/>
      <c r="T34" s="1033"/>
      <c r="U34" s="1033"/>
      <c r="V34" s="7"/>
      <c r="W34" s="1031">
        <v>0.28000000000000003</v>
      </c>
      <c r="X34" s="1032"/>
      <c r="Y34" s="7"/>
      <c r="Z34" s="7"/>
      <c r="AA34" s="7"/>
      <c r="AB34" s="601"/>
      <c r="AC34" s="602"/>
    </row>
    <row r="35" spans="1:29" ht="15" customHeight="1" x14ac:dyDescent="0.25">
      <c r="A35" s="7"/>
      <c r="B35" s="584"/>
      <c r="C35" s="7"/>
      <c r="D35" s="7"/>
      <c r="E35" s="7"/>
      <c r="F35" s="7"/>
      <c r="G35" s="7"/>
      <c r="H35" s="7"/>
      <c r="I35" s="438"/>
      <c r="J35" s="438"/>
      <c r="K35" s="22"/>
      <c r="L35" s="7"/>
      <c r="M35" s="7"/>
      <c r="N35" s="7"/>
      <c r="O35" s="1016" t="s">
        <v>4</v>
      </c>
      <c r="P35" s="1016"/>
      <c r="Q35" s="1016"/>
      <c r="R35" s="1016"/>
      <c r="S35" s="1016"/>
      <c r="T35" s="1016"/>
      <c r="U35" s="7"/>
      <c r="V35" s="7"/>
      <c r="W35" s="603"/>
      <c r="X35" s="603"/>
      <c r="Y35" s="7"/>
      <c r="Z35" s="7"/>
      <c r="AA35" s="7"/>
      <c r="AB35" s="601"/>
      <c r="AC35" s="602"/>
    </row>
    <row r="36" spans="1:29" ht="15" customHeight="1" x14ac:dyDescent="0.3">
      <c r="A36" s="7"/>
      <c r="B36" s="7" t="s">
        <v>297</v>
      </c>
      <c r="C36" s="7"/>
      <c r="D36" s="7"/>
      <c r="E36" s="7"/>
      <c r="F36" s="7"/>
      <c r="G36" s="7"/>
      <c r="H36" s="150"/>
      <c r="I36" s="1034">
        <f>VLOOKUP(I21,'Average Accidents Costs'!O10:Z22,3+MATCH(Overview!E26,'Average Accidents Costs'!R9:Z9,0),FALSE)</f>
        <v>215270.49851938395</v>
      </c>
      <c r="J36" s="1034"/>
      <c r="K36" s="7"/>
      <c r="L36" s="7"/>
      <c r="M36" s="7"/>
      <c r="N36" s="7"/>
      <c r="O36" s="1040" t="s">
        <v>329</v>
      </c>
      <c r="P36" s="1040"/>
      <c r="Q36" s="1040"/>
      <c r="R36" s="1040"/>
      <c r="S36" s="1040"/>
      <c r="T36" s="1040"/>
      <c r="U36" s="1040"/>
      <c r="V36" s="7"/>
      <c r="W36" s="554"/>
      <c r="X36" s="554"/>
      <c r="Y36" s="7" t="s">
        <v>164</v>
      </c>
      <c r="Z36" s="7"/>
      <c r="AA36" s="7"/>
    </row>
    <row r="37" spans="1:29" ht="15" customHeight="1" x14ac:dyDescent="0.25">
      <c r="A37" s="7"/>
      <c r="B37" s="7"/>
      <c r="C37" s="7"/>
      <c r="D37" s="7"/>
      <c r="E37" s="7"/>
      <c r="F37" s="7"/>
      <c r="G37" s="7"/>
      <c r="H37" s="7"/>
      <c r="I37" s="7"/>
      <c r="J37" s="7"/>
      <c r="K37" s="7"/>
      <c r="L37" s="7"/>
      <c r="M37" s="1035" t="s">
        <v>344</v>
      </c>
      <c r="N37" s="1035"/>
      <c r="O37" s="1035"/>
      <c r="P37" s="1035"/>
      <c r="Q37" s="1035"/>
      <c r="R37" s="68">
        <v>1</v>
      </c>
      <c r="S37" s="7"/>
      <c r="T37" s="604">
        <v>0</v>
      </c>
      <c r="U37" s="604">
        <v>0</v>
      </c>
      <c r="V37" s="604">
        <v>0</v>
      </c>
      <c r="W37" s="604">
        <v>0</v>
      </c>
      <c r="X37" s="604">
        <v>0</v>
      </c>
      <c r="Y37" s="1007">
        <f>AVERAGE(T37:X37)</f>
        <v>0</v>
      </c>
      <c r="Z37" s="1008"/>
      <c r="AA37" s="7"/>
    </row>
    <row r="38" spans="1:29" ht="15" customHeight="1" x14ac:dyDescent="0.25">
      <c r="A38" s="7"/>
      <c r="B38" s="18" t="s">
        <v>17</v>
      </c>
      <c r="C38" s="7"/>
      <c r="D38" s="7"/>
      <c r="E38" s="7"/>
      <c r="F38" s="7"/>
      <c r="G38" s="7"/>
      <c r="H38" s="7"/>
      <c r="I38" s="1028" t="s">
        <v>294</v>
      </c>
      <c r="J38" s="1029"/>
      <c r="K38" s="7"/>
      <c r="L38" s="1016"/>
      <c r="M38" s="1016"/>
      <c r="N38" s="7"/>
      <c r="O38" s="81"/>
      <c r="P38" s="81"/>
      <c r="Q38" s="81"/>
      <c r="R38" s="68">
        <v>2</v>
      </c>
      <c r="S38" s="7"/>
      <c r="T38" s="604">
        <v>0</v>
      </c>
      <c r="U38" s="604">
        <v>0</v>
      </c>
      <c r="V38" s="604">
        <v>0</v>
      </c>
      <c r="W38" s="604">
        <v>0</v>
      </c>
      <c r="X38" s="604">
        <v>0</v>
      </c>
      <c r="Y38" s="1007">
        <f>AVERAGE(T38:X38)</f>
        <v>0</v>
      </c>
      <c r="Z38" s="1008"/>
      <c r="AA38" s="274"/>
    </row>
    <row r="39" spans="1:29" ht="15" customHeight="1" x14ac:dyDescent="0.25">
      <c r="A39" s="7"/>
      <c r="B39" s="18"/>
      <c r="C39" s="7"/>
      <c r="D39" s="7"/>
      <c r="E39" s="7"/>
      <c r="F39" s="7"/>
      <c r="G39" s="7"/>
      <c r="H39" s="7"/>
      <c r="I39" s="7"/>
      <c r="J39" s="7"/>
      <c r="K39" s="7"/>
      <c r="L39" s="554"/>
      <c r="M39" s="554"/>
      <c r="N39" s="7"/>
      <c r="O39" s="605"/>
      <c r="P39" s="81"/>
      <c r="Q39" s="81"/>
      <c r="R39" s="68">
        <v>3</v>
      </c>
      <c r="S39" s="7"/>
      <c r="T39" s="604">
        <v>0</v>
      </c>
      <c r="U39" s="604">
        <v>0</v>
      </c>
      <c r="V39" s="604">
        <v>0</v>
      </c>
      <c r="W39" s="604">
        <v>0</v>
      </c>
      <c r="X39" s="604">
        <v>0</v>
      </c>
      <c r="Y39" s="1007">
        <f>AVERAGE(T39:X39)</f>
        <v>0</v>
      </c>
      <c r="Z39" s="1008"/>
      <c r="AA39" s="274"/>
    </row>
    <row r="40" spans="1:29" ht="15" customHeight="1" x14ac:dyDescent="0.3">
      <c r="A40" s="7"/>
      <c r="B40" s="81" t="s">
        <v>36</v>
      </c>
      <c r="C40" s="81"/>
      <c r="D40" s="81"/>
      <c r="E40" s="81"/>
      <c r="F40" s="81"/>
      <c r="G40" s="81"/>
      <c r="H40" s="81"/>
      <c r="I40" s="1009">
        <f>'National Accident Rate'!K13</f>
        <v>1.2752898948202814E-2</v>
      </c>
      <c r="J40" s="1009"/>
      <c r="K40" s="81"/>
      <c r="L40" s="1015"/>
      <c r="M40" s="1015"/>
      <c r="N40" s="81"/>
      <c r="O40" s="81"/>
      <c r="P40" s="81"/>
      <c r="Q40" s="81"/>
      <c r="R40" s="68">
        <v>4</v>
      </c>
      <c r="S40" s="81"/>
      <c r="T40" s="604">
        <v>0</v>
      </c>
      <c r="U40" s="604">
        <v>0</v>
      </c>
      <c r="V40" s="604">
        <v>0</v>
      </c>
      <c r="W40" s="604">
        <v>0</v>
      </c>
      <c r="X40" s="604">
        <v>0</v>
      </c>
      <c r="Y40" s="1007">
        <f>AVERAGE(T40:X40)</f>
        <v>0</v>
      </c>
      <c r="Z40" s="1008"/>
      <c r="AA40" s="31"/>
    </row>
    <row r="41" spans="1:29" ht="15" customHeight="1" x14ac:dyDescent="0.3">
      <c r="A41" s="7"/>
      <c r="B41" s="81"/>
      <c r="C41" s="81"/>
      <c r="D41" s="81"/>
      <c r="E41" s="81"/>
      <c r="F41" s="81"/>
      <c r="G41" s="81"/>
      <c r="H41" s="81"/>
      <c r="I41" s="560"/>
      <c r="J41" s="560"/>
      <c r="K41" s="81"/>
      <c r="L41" s="551"/>
      <c r="M41" s="551"/>
      <c r="N41" s="81"/>
      <c r="O41" s="81"/>
      <c r="P41" s="81"/>
      <c r="Q41" s="81"/>
      <c r="R41" s="68">
        <v>5</v>
      </c>
      <c r="S41" s="81"/>
      <c r="T41" s="604">
        <v>0</v>
      </c>
      <c r="U41" s="604">
        <v>0</v>
      </c>
      <c r="V41" s="604">
        <v>0</v>
      </c>
      <c r="W41" s="604">
        <v>0</v>
      </c>
      <c r="X41" s="604">
        <v>0</v>
      </c>
      <c r="Y41" s="1007">
        <f>AVERAGE(T41:X41)</f>
        <v>0</v>
      </c>
      <c r="Z41" s="1008"/>
      <c r="AA41" s="31"/>
    </row>
    <row r="42" spans="1:29" ht="15" customHeight="1" x14ac:dyDescent="0.3">
      <c r="A42" s="7"/>
      <c r="B42" s="30"/>
      <c r="C42" s="81"/>
      <c r="D42" s="81"/>
      <c r="E42" s="81"/>
      <c r="F42" s="81"/>
      <c r="G42" s="81"/>
      <c r="H42" s="81"/>
      <c r="I42" s="81"/>
      <c r="J42" s="81"/>
      <c r="K42" s="81"/>
      <c r="L42" s="81"/>
      <c r="M42" s="81"/>
      <c r="N42" s="81"/>
      <c r="O42" s="81"/>
      <c r="P42" s="81"/>
      <c r="Q42" s="81"/>
      <c r="R42" s="81"/>
      <c r="S42" s="81"/>
      <c r="T42" s="81"/>
      <c r="U42" s="81"/>
      <c r="V42" s="81"/>
      <c r="W42" s="81"/>
      <c r="X42" s="81"/>
      <c r="Y42" s="114"/>
      <c r="Z42" s="81"/>
      <c r="AA42" s="81"/>
    </row>
    <row r="43" spans="1:29" ht="15" customHeight="1" x14ac:dyDescent="0.3">
      <c r="A43" s="81"/>
      <c r="B43" s="30"/>
      <c r="C43" s="81"/>
      <c r="D43" s="81"/>
      <c r="E43" s="81"/>
      <c r="F43" s="81"/>
      <c r="G43" s="81"/>
      <c r="H43" s="81"/>
      <c r="I43" s="81"/>
      <c r="J43" s="81"/>
      <c r="K43" s="81"/>
      <c r="L43" s="81"/>
      <c r="M43" s="81"/>
      <c r="N43" s="81"/>
      <c r="O43" s="81"/>
      <c r="P43" s="81"/>
      <c r="Q43" s="81"/>
      <c r="R43" s="81"/>
      <c r="S43" s="81"/>
      <c r="T43" s="81" t="s">
        <v>105</v>
      </c>
      <c r="U43" s="81"/>
      <c r="V43" s="81"/>
      <c r="W43" s="81"/>
      <c r="X43" s="81" t="s">
        <v>106</v>
      </c>
      <c r="Y43" s="114"/>
      <c r="Z43" s="81"/>
      <c r="AA43" s="81"/>
    </row>
    <row r="44" spans="1:29" ht="15" customHeight="1" x14ac:dyDescent="0.3">
      <c r="A44" s="81"/>
      <c r="B44" s="30"/>
      <c r="C44" s="81"/>
      <c r="D44" s="81"/>
      <c r="E44" s="81"/>
      <c r="F44" s="81"/>
      <c r="G44" s="81"/>
      <c r="H44" s="81"/>
      <c r="I44" s="81"/>
      <c r="J44" s="81"/>
      <c r="K44" s="81"/>
      <c r="L44" s="81"/>
      <c r="M44" s="81"/>
      <c r="N44" s="81"/>
      <c r="O44" s="81"/>
      <c r="P44" s="81"/>
      <c r="Q44" s="81"/>
      <c r="R44" s="81"/>
      <c r="S44" s="81"/>
      <c r="T44" s="81"/>
      <c r="U44" s="81"/>
      <c r="V44" s="81"/>
      <c r="W44" s="81"/>
      <c r="X44" s="81"/>
      <c r="Y44" s="114"/>
      <c r="Z44" s="81"/>
      <c r="AA44" s="81"/>
    </row>
    <row r="45" spans="1:29" ht="15" customHeight="1" x14ac:dyDescent="0.3">
      <c r="A45" s="81"/>
      <c r="B45" s="30"/>
      <c r="C45" s="81"/>
      <c r="D45" s="81"/>
      <c r="E45" s="81"/>
      <c r="F45" s="81"/>
      <c r="G45" s="81"/>
      <c r="H45" s="81"/>
      <c r="I45" s="81"/>
      <c r="J45" s="81"/>
      <c r="K45" s="81"/>
      <c r="L45" s="81"/>
      <c r="M45" s="81"/>
      <c r="N45" s="81"/>
      <c r="O45" s="81"/>
      <c r="P45" s="81"/>
      <c r="Q45" s="81"/>
      <c r="R45" s="81"/>
      <c r="S45" s="81"/>
      <c r="T45" s="81"/>
      <c r="U45" s="81"/>
      <c r="V45" s="81"/>
      <c r="W45" s="81"/>
      <c r="X45" s="81"/>
      <c r="Y45" s="114"/>
      <c r="Z45" s="81"/>
      <c r="AA45" s="81"/>
    </row>
    <row r="46" spans="1:29" ht="15" customHeight="1" x14ac:dyDescent="0.3">
      <c r="A46" s="7"/>
      <c r="B46" s="12" t="s">
        <v>19</v>
      </c>
      <c r="C46" s="7"/>
      <c r="D46" s="7"/>
      <c r="E46" s="7"/>
      <c r="F46" s="7"/>
      <c r="G46" s="7"/>
      <c r="H46" s="7"/>
      <c r="I46" s="7"/>
      <c r="J46" s="7"/>
      <c r="K46" s="7"/>
      <c r="L46" s="7"/>
      <c r="M46" s="7"/>
      <c r="N46" s="7"/>
      <c r="O46" s="7"/>
      <c r="P46" s="7"/>
      <c r="Q46" s="27"/>
      <c r="R46" s="7" t="s">
        <v>26</v>
      </c>
      <c r="S46" s="7"/>
      <c r="T46" s="27"/>
      <c r="U46" s="27"/>
      <c r="V46" s="27"/>
      <c r="W46" s="1009">
        <f>SUM(Q49:R53)</f>
        <v>45</v>
      </c>
      <c r="X46" s="1009"/>
      <c r="Y46" s="22"/>
      <c r="Z46" s="7"/>
      <c r="AA46" s="7"/>
    </row>
    <row r="47" spans="1:29" ht="15" customHeight="1" x14ac:dyDescent="0.3">
      <c r="A47" s="7"/>
      <c r="B47" s="7"/>
      <c r="C47" s="554"/>
      <c r="D47" s="554"/>
      <c r="E47" s="21"/>
      <c r="F47" s="21"/>
      <c r="G47" s="21"/>
      <c r="H47" s="21"/>
      <c r="I47" s="21"/>
      <c r="J47" s="21"/>
      <c r="K47" s="21"/>
      <c r="L47" s="21"/>
      <c r="M47" s="21"/>
      <c r="N47" s="21"/>
      <c r="O47" s="21"/>
      <c r="P47" s="554"/>
      <c r="Q47" s="554"/>
      <c r="R47" s="554"/>
      <c r="S47" s="554"/>
      <c r="T47" s="275"/>
      <c r="U47" s="554"/>
      <c r="V47" s="554"/>
      <c r="W47" s="603"/>
      <c r="X47" s="554"/>
      <c r="Y47" s="554"/>
      <c r="Z47" s="7"/>
      <c r="AA47" s="7"/>
    </row>
    <row r="48" spans="1:29" ht="15" customHeight="1" x14ac:dyDescent="0.3">
      <c r="A48" s="7"/>
      <c r="B48" s="7"/>
      <c r="C48" s="1012" t="s">
        <v>20</v>
      </c>
      <c r="D48" s="1012"/>
      <c r="E48" s="1012"/>
      <c r="F48" s="7"/>
      <c r="G48" s="1017" t="s">
        <v>21</v>
      </c>
      <c r="H48" s="1017"/>
      <c r="I48" s="1017"/>
      <c r="J48" s="7"/>
      <c r="K48" s="1012" t="s">
        <v>22</v>
      </c>
      <c r="L48" s="1012"/>
      <c r="M48" s="554"/>
      <c r="N48" s="1012" t="s">
        <v>23</v>
      </c>
      <c r="O48" s="1012"/>
      <c r="P48" s="554"/>
      <c r="Q48" s="1012" t="s">
        <v>24</v>
      </c>
      <c r="R48" s="1012"/>
      <c r="S48" s="554"/>
      <c r="T48" s="1016" t="s">
        <v>265</v>
      </c>
      <c r="U48" s="1016"/>
      <c r="V48" s="554"/>
      <c r="W48" s="1012" t="s">
        <v>25</v>
      </c>
      <c r="X48" s="1012"/>
      <c r="Y48" s="554"/>
      <c r="Z48" s="7"/>
      <c r="AA48" s="7"/>
    </row>
    <row r="49" spans="1:27" ht="15" customHeight="1" x14ac:dyDescent="0.3">
      <c r="A49" s="7"/>
      <c r="B49" s="550">
        <v>1</v>
      </c>
      <c r="C49" s="1013" t="s">
        <v>314</v>
      </c>
      <c r="D49" s="1013"/>
      <c r="E49" s="1013"/>
      <c r="F49" s="7"/>
      <c r="G49" s="1013" t="s">
        <v>266</v>
      </c>
      <c r="H49" s="1013"/>
      <c r="I49" s="1013"/>
      <c r="J49" s="7"/>
      <c r="K49" s="962">
        <v>0</v>
      </c>
      <c r="L49" s="962"/>
      <c r="M49" s="549"/>
      <c r="N49" s="1011">
        <v>5</v>
      </c>
      <c r="O49" s="1011"/>
      <c r="P49" s="549"/>
      <c r="Q49" s="1010">
        <f>N49-K49</f>
        <v>5</v>
      </c>
      <c r="R49" s="1010"/>
      <c r="S49" s="549"/>
      <c r="T49" s="1014">
        <f>((100/W46)*Q49)/100</f>
        <v>0.1111111111111111</v>
      </c>
      <c r="U49" s="1014"/>
      <c r="V49" s="549"/>
      <c r="W49" s="1011">
        <v>75</v>
      </c>
      <c r="X49" s="1011"/>
      <c r="Y49" s="554"/>
      <c r="Z49" s="7"/>
      <c r="AA49" s="7"/>
    </row>
    <row r="50" spans="1:27" ht="15" customHeight="1" x14ac:dyDescent="0.3">
      <c r="A50" s="7"/>
      <c r="B50" s="550">
        <v>2</v>
      </c>
      <c r="C50" s="1013" t="s">
        <v>270</v>
      </c>
      <c r="D50" s="1013"/>
      <c r="E50" s="1013"/>
      <c r="F50" s="7"/>
      <c r="G50" s="1013" t="s">
        <v>267</v>
      </c>
      <c r="H50" s="1013"/>
      <c r="I50" s="1013"/>
      <c r="J50" s="7"/>
      <c r="K50" s="1010">
        <f>N49</f>
        <v>5</v>
      </c>
      <c r="L50" s="1010"/>
      <c r="M50" s="549"/>
      <c r="N50" s="1011">
        <v>15</v>
      </c>
      <c r="O50" s="1011"/>
      <c r="P50" s="549"/>
      <c r="Q50" s="1010">
        <f>N50-K50</f>
        <v>10</v>
      </c>
      <c r="R50" s="1010"/>
      <c r="S50" s="549"/>
      <c r="T50" s="1014">
        <f>((100/W46)*Q50)/100</f>
        <v>0.22222222222222221</v>
      </c>
      <c r="U50" s="1014"/>
      <c r="V50" s="549"/>
      <c r="W50" s="1011">
        <v>75</v>
      </c>
      <c r="X50" s="1011"/>
      <c r="Y50" s="554"/>
      <c r="Z50" s="7"/>
      <c r="AA50" s="7"/>
    </row>
    <row r="51" spans="1:27" ht="15" customHeight="1" x14ac:dyDescent="0.3">
      <c r="A51" s="7"/>
      <c r="B51" s="550">
        <v>3</v>
      </c>
      <c r="C51" s="1013" t="s">
        <v>271</v>
      </c>
      <c r="D51" s="1013"/>
      <c r="E51" s="1013"/>
      <c r="F51" s="7"/>
      <c r="G51" s="1013" t="s">
        <v>268</v>
      </c>
      <c r="H51" s="1013"/>
      <c r="I51" s="1013"/>
      <c r="J51" s="7"/>
      <c r="K51" s="1010">
        <f>N50</f>
        <v>15</v>
      </c>
      <c r="L51" s="1010"/>
      <c r="M51" s="549"/>
      <c r="N51" s="1011">
        <v>25</v>
      </c>
      <c r="O51" s="1011"/>
      <c r="P51" s="549"/>
      <c r="Q51" s="1010">
        <f>N51-K51</f>
        <v>10</v>
      </c>
      <c r="R51" s="1010"/>
      <c r="S51" s="549"/>
      <c r="T51" s="1014">
        <f>((100/W46)*Q51)/100</f>
        <v>0.22222222222222221</v>
      </c>
      <c r="U51" s="1014"/>
      <c r="V51" s="549"/>
      <c r="W51" s="1011">
        <v>75</v>
      </c>
      <c r="X51" s="1011"/>
      <c r="Y51" s="554"/>
      <c r="Z51" s="7"/>
      <c r="AA51" s="7"/>
    </row>
    <row r="52" spans="1:27" ht="15" customHeight="1" x14ac:dyDescent="0.3">
      <c r="A52" s="7"/>
      <c r="B52" s="550">
        <v>4</v>
      </c>
      <c r="C52" s="1013" t="s">
        <v>272</v>
      </c>
      <c r="D52" s="1013"/>
      <c r="E52" s="1013"/>
      <c r="F52" s="7"/>
      <c r="G52" s="1013" t="s">
        <v>269</v>
      </c>
      <c r="H52" s="1013"/>
      <c r="I52" s="1013"/>
      <c r="J52" s="7"/>
      <c r="K52" s="1010">
        <f>N51</f>
        <v>25</v>
      </c>
      <c r="L52" s="1010"/>
      <c r="M52" s="549"/>
      <c r="N52" s="1011">
        <v>35</v>
      </c>
      <c r="O52" s="1011"/>
      <c r="P52" s="549"/>
      <c r="Q52" s="1010">
        <f>N52-K52</f>
        <v>10</v>
      </c>
      <c r="R52" s="1010"/>
      <c r="S52" s="549"/>
      <c r="T52" s="1014">
        <f>((100/W46)*Q52)/100</f>
        <v>0.22222222222222221</v>
      </c>
      <c r="U52" s="1014"/>
      <c r="V52" s="549"/>
      <c r="W52" s="1011">
        <v>75</v>
      </c>
      <c r="X52" s="1011"/>
      <c r="Y52" s="554"/>
      <c r="Z52" s="7"/>
      <c r="AA52" s="7"/>
    </row>
    <row r="53" spans="1:27" ht="15" customHeight="1" x14ac:dyDescent="0.3">
      <c r="A53" s="7"/>
      <c r="B53" s="550">
        <v>5</v>
      </c>
      <c r="C53" s="1013" t="s">
        <v>272</v>
      </c>
      <c r="D53" s="1013"/>
      <c r="E53" s="1013"/>
      <c r="F53" s="7"/>
      <c r="G53" s="1013" t="s">
        <v>315</v>
      </c>
      <c r="H53" s="1013"/>
      <c r="I53" s="1013"/>
      <c r="J53" s="7"/>
      <c r="K53" s="1010">
        <f>N52</f>
        <v>35</v>
      </c>
      <c r="L53" s="1010"/>
      <c r="M53" s="549"/>
      <c r="N53" s="1011">
        <v>45</v>
      </c>
      <c r="O53" s="1011"/>
      <c r="P53" s="549"/>
      <c r="Q53" s="1010">
        <f>N53-K53</f>
        <v>10</v>
      </c>
      <c r="R53" s="1010"/>
      <c r="S53" s="549"/>
      <c r="T53" s="1014">
        <f>((100/W46)*Q53)/100</f>
        <v>0.22222222222222221</v>
      </c>
      <c r="U53" s="1014"/>
      <c r="V53" s="549"/>
      <c r="W53" s="1011">
        <v>75</v>
      </c>
      <c r="X53" s="1011"/>
      <c r="Y53" s="554"/>
      <c r="Z53" s="7"/>
      <c r="AA53" s="7"/>
    </row>
    <row r="54" spans="1:27" ht="15" customHeight="1" x14ac:dyDescent="0.3">
      <c r="A54" s="81"/>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row>
    <row r="55" spans="1:27" ht="15" customHeight="1" x14ac:dyDescent="0.3">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row>
    <row r="56" spans="1:27" ht="15" customHeight="1" x14ac:dyDescent="0.3">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row>
    <row r="57" spans="1:27" ht="15" customHeight="1" x14ac:dyDescent="0.3">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row>
    <row r="58" spans="1:27" ht="15" customHeight="1" x14ac:dyDescent="0.3">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row>
    <row r="59" spans="1:27" ht="15" customHeight="1" x14ac:dyDescent="0.3">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row>
    <row r="60" spans="1:27" ht="15" customHeight="1" x14ac:dyDescent="0.3">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row>
    <row r="61" spans="1:27" ht="15" customHeight="1" x14ac:dyDescent="0.3">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row>
    <row r="62" spans="1:27" ht="15" customHeight="1" x14ac:dyDescent="0.3">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row>
    <row r="63" spans="1:27" ht="15" customHeight="1" x14ac:dyDescent="0.3">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row>
    <row r="64" spans="1:27" ht="15" customHeight="1" x14ac:dyDescent="0.3">
      <c r="A64" s="590"/>
      <c r="B64" s="590"/>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row>
  </sheetData>
  <mergeCells count="99">
    <mergeCell ref="W5:X5"/>
    <mergeCell ref="W7:X7"/>
    <mergeCell ref="W9:X9"/>
    <mergeCell ref="W15:X15"/>
    <mergeCell ref="Y39:Z39"/>
    <mergeCell ref="W11:X11"/>
    <mergeCell ref="W13:X13"/>
    <mergeCell ref="W17:X17"/>
    <mergeCell ref="Y37:Z37"/>
    <mergeCell ref="W19:X19"/>
    <mergeCell ref="I38:J38"/>
    <mergeCell ref="I36:J36"/>
    <mergeCell ref="W34:X34"/>
    <mergeCell ref="L38:M38"/>
    <mergeCell ref="O21:P21"/>
    <mergeCell ref="M37:Q37"/>
    <mergeCell ref="W21:X21"/>
    <mergeCell ref="W23:X23"/>
    <mergeCell ref="W25:X25"/>
    <mergeCell ref="W26:X26"/>
    <mergeCell ref="O36:U36"/>
    <mergeCell ref="O35:T35"/>
    <mergeCell ref="T21:U21"/>
    <mergeCell ref="I19:J19"/>
    <mergeCell ref="L19:M19"/>
    <mergeCell ref="L21:M21"/>
    <mergeCell ref="O19:P19"/>
    <mergeCell ref="I34:J34"/>
    <mergeCell ref="I21:J21"/>
    <mergeCell ref="O34:U34"/>
    <mergeCell ref="I7:J7"/>
    <mergeCell ref="I9:J9"/>
    <mergeCell ref="O17:P17"/>
    <mergeCell ref="L17:M17"/>
    <mergeCell ref="O5:P5"/>
    <mergeCell ref="L5:M5"/>
    <mergeCell ref="I5:J5"/>
    <mergeCell ref="I13:J13"/>
    <mergeCell ref="I15:J15"/>
    <mergeCell ref="I17:J17"/>
    <mergeCell ref="I11:J11"/>
    <mergeCell ref="L2:M2"/>
    <mergeCell ref="L4:M4"/>
    <mergeCell ref="L15:M15"/>
    <mergeCell ref="O2:P2"/>
    <mergeCell ref="L13:M14"/>
    <mergeCell ref="O13:P14"/>
    <mergeCell ref="O15:P15"/>
    <mergeCell ref="L6:M6"/>
    <mergeCell ref="O4:P4"/>
    <mergeCell ref="I40:J40"/>
    <mergeCell ref="L40:M40"/>
    <mergeCell ref="G53:I53"/>
    <mergeCell ref="Y38:Z38"/>
    <mergeCell ref="Y40:Z40"/>
    <mergeCell ref="T48:U48"/>
    <mergeCell ref="T51:U51"/>
    <mergeCell ref="T52:U52"/>
    <mergeCell ref="W53:X53"/>
    <mergeCell ref="W52:X52"/>
    <mergeCell ref="W51:X51"/>
    <mergeCell ref="Q48:R48"/>
    <mergeCell ref="G48:I48"/>
    <mergeCell ref="T50:U50"/>
    <mergeCell ref="W48:X48"/>
    <mergeCell ref="T53:U53"/>
    <mergeCell ref="Q53:R53"/>
    <mergeCell ref="Q52:R52"/>
    <mergeCell ref="Q51:R51"/>
    <mergeCell ref="C52:E52"/>
    <mergeCell ref="C51:E51"/>
    <mergeCell ref="G51:I51"/>
    <mergeCell ref="G52:I52"/>
    <mergeCell ref="N53:O53"/>
    <mergeCell ref="N52:O52"/>
    <mergeCell ref="N51:O51"/>
    <mergeCell ref="K51:L51"/>
    <mergeCell ref="K48:L48"/>
    <mergeCell ref="C53:E53"/>
    <mergeCell ref="K50:L50"/>
    <mergeCell ref="G49:I49"/>
    <mergeCell ref="G50:I50"/>
    <mergeCell ref="K49:L49"/>
    <mergeCell ref="Y41:Z41"/>
    <mergeCell ref="B54:AA54"/>
    <mergeCell ref="W46:X46"/>
    <mergeCell ref="K52:L52"/>
    <mergeCell ref="K53:L53"/>
    <mergeCell ref="W50:X50"/>
    <mergeCell ref="W49:X49"/>
    <mergeCell ref="C48:E48"/>
    <mergeCell ref="C49:E49"/>
    <mergeCell ref="C50:E50"/>
    <mergeCell ref="N50:O50"/>
    <mergeCell ref="N49:O49"/>
    <mergeCell ref="Q50:R50"/>
    <mergeCell ref="Q49:R49"/>
    <mergeCell ref="T49:U49"/>
    <mergeCell ref="N48:O48"/>
  </mergeCells>
  <conditionalFormatting sqref="O21:P21 O19:P19">
    <cfRule type="cellIs" dxfId="1" priority="1" operator="equal">
      <formula>0</formula>
    </cfRule>
  </conditionalFormatting>
  <dataValidations count="10">
    <dataValidation allowBlank="1" showInputMessage="1" showErrorMessage="1" prompt="53.347901" sqref="JJ65514 TF65514 ADB65514 AMX65514 AWT65514 BGP65514 BQL65514 CAH65514 CKD65514 CTZ65514 DDV65514 DNR65514 DXN65514 EHJ65514 ERF65514 FBB65514 FKX65514 FUT65514 GEP65514 GOL65514 GYH65514 HID65514 HRZ65514 IBV65514 ILR65514 IVN65514 JFJ65514 JPF65514 JZB65514 KIX65514 KST65514 LCP65514 LML65514 LWH65514 MGD65514 MPZ65514 MZV65514 NJR65514 NTN65514 ODJ65514 ONF65514 OXB65514 PGX65514 PQT65514 QAP65514 QKL65514 QUH65514 RED65514 RNZ65514 RXV65514 SHR65514 SRN65514 TBJ65514 TLF65514 TVB65514 UEX65514 UOT65514 UYP65514 VIL65514 VSH65514 WCD65514 WLZ65514 WVV65514 JJ131050 TF131050 ADB131050 AMX131050 AWT131050 BGP131050 BQL131050 CAH131050 CKD131050 CTZ131050 DDV131050 DNR131050 DXN131050 EHJ131050 ERF131050 FBB131050 FKX131050 FUT131050 GEP131050 GOL131050 GYH131050 HID131050 HRZ131050 IBV131050 ILR131050 IVN131050 JFJ131050 JPF131050 JZB131050 KIX131050 KST131050 LCP131050 LML131050 LWH131050 MGD131050 MPZ131050 MZV131050 NJR131050 NTN131050 ODJ131050 ONF131050 OXB131050 PGX131050 PQT131050 QAP131050 QKL131050 QUH131050 RED131050 RNZ131050 RXV131050 SHR131050 SRN131050 TBJ131050 TLF131050 TVB131050 UEX131050 UOT131050 UYP131050 VIL131050 VSH131050 WCD131050 WLZ131050 WVV131050 JJ196586 TF196586 ADB196586 AMX196586 AWT196586 BGP196586 BQL196586 CAH196586 CKD196586 CTZ196586 DDV196586 DNR196586 DXN196586 EHJ196586 ERF196586 FBB196586 FKX196586 FUT196586 GEP196586 GOL196586 GYH196586 HID196586 HRZ196586 IBV196586 ILR196586 IVN196586 JFJ196586 JPF196586 JZB196586 KIX196586 KST196586 LCP196586 LML196586 LWH196586 MGD196586 MPZ196586 MZV196586 NJR196586 NTN196586 ODJ196586 ONF196586 OXB196586 PGX196586 PQT196586 QAP196586 QKL196586 QUH196586 RED196586 RNZ196586 RXV196586 SHR196586 SRN196586 TBJ196586 TLF196586 TVB196586 UEX196586 UOT196586 UYP196586 VIL196586 VSH196586 WCD196586 WLZ196586 WVV196586 JJ262122 TF262122 ADB262122 AMX262122 AWT262122 BGP262122 BQL262122 CAH262122 CKD262122 CTZ262122 DDV262122 DNR262122 DXN262122 EHJ262122 ERF262122 FBB262122 FKX262122 FUT262122 GEP262122 GOL262122 GYH262122 HID262122 HRZ262122 IBV262122 ILR262122 IVN262122 JFJ262122 JPF262122 JZB262122 KIX262122 KST262122 LCP262122 LML262122 LWH262122 MGD262122 MPZ262122 MZV262122 NJR262122 NTN262122 ODJ262122 ONF262122 OXB262122 PGX262122 PQT262122 QAP262122 QKL262122 QUH262122 RED262122 RNZ262122 RXV262122 SHR262122 SRN262122 TBJ262122 TLF262122 TVB262122 UEX262122 UOT262122 UYP262122 VIL262122 VSH262122 WCD262122 WLZ262122 WVV262122 JJ327658 TF327658 ADB327658 AMX327658 AWT327658 BGP327658 BQL327658 CAH327658 CKD327658 CTZ327658 DDV327658 DNR327658 DXN327658 EHJ327658 ERF327658 FBB327658 FKX327658 FUT327658 GEP327658 GOL327658 GYH327658 HID327658 HRZ327658 IBV327658 ILR327658 IVN327658 JFJ327658 JPF327658 JZB327658 KIX327658 KST327658 LCP327658 LML327658 LWH327658 MGD327658 MPZ327658 MZV327658 NJR327658 NTN327658 ODJ327658 ONF327658 OXB327658 PGX327658 PQT327658 QAP327658 QKL327658 QUH327658 RED327658 RNZ327658 RXV327658 SHR327658 SRN327658 TBJ327658 TLF327658 TVB327658 UEX327658 UOT327658 UYP327658 VIL327658 VSH327658 WCD327658 WLZ327658 WVV327658 JJ393194 TF393194 ADB393194 AMX393194 AWT393194 BGP393194 BQL393194 CAH393194 CKD393194 CTZ393194 DDV393194 DNR393194 DXN393194 EHJ393194 ERF393194 FBB393194 FKX393194 FUT393194 GEP393194 GOL393194 GYH393194 HID393194 HRZ393194 IBV393194 ILR393194 IVN393194 JFJ393194 JPF393194 JZB393194 KIX393194 KST393194 LCP393194 LML393194 LWH393194 MGD393194 MPZ393194 MZV393194 NJR393194 NTN393194 ODJ393194 ONF393194 OXB393194 PGX393194 PQT393194 QAP393194 QKL393194 QUH393194 RED393194 RNZ393194 RXV393194 SHR393194 SRN393194 TBJ393194 TLF393194 TVB393194 UEX393194 UOT393194 UYP393194 VIL393194 VSH393194 WCD393194 WLZ393194 WVV393194 JJ458730 TF458730 ADB458730 AMX458730 AWT458730 BGP458730 BQL458730 CAH458730 CKD458730 CTZ458730 DDV458730 DNR458730 DXN458730 EHJ458730 ERF458730 FBB458730 FKX458730 FUT458730 GEP458730 GOL458730 GYH458730 HID458730 HRZ458730 IBV458730 ILR458730 IVN458730 JFJ458730 JPF458730 JZB458730 KIX458730 KST458730 LCP458730 LML458730 LWH458730 MGD458730 MPZ458730 MZV458730 NJR458730 NTN458730 ODJ458730 ONF458730 OXB458730 PGX458730 PQT458730 QAP458730 QKL458730 QUH458730 RED458730 RNZ458730 RXV458730 SHR458730 SRN458730 TBJ458730 TLF458730 TVB458730 UEX458730 UOT458730 UYP458730 VIL458730 VSH458730 WCD458730 WLZ458730 WVV458730 JJ524266 TF524266 ADB524266 AMX524266 AWT524266 BGP524266 BQL524266 CAH524266 CKD524266 CTZ524266 DDV524266 DNR524266 DXN524266 EHJ524266 ERF524266 FBB524266 FKX524266 FUT524266 GEP524266 GOL524266 GYH524266 HID524266 HRZ524266 IBV524266 ILR524266 IVN524266 JFJ524266 JPF524266 JZB524266 KIX524266 KST524266 LCP524266 LML524266 LWH524266 MGD524266 MPZ524266 MZV524266 NJR524266 NTN524266 ODJ524266 ONF524266 OXB524266 PGX524266 PQT524266 QAP524266 QKL524266 QUH524266 RED524266 RNZ524266 RXV524266 SHR524266 SRN524266 TBJ524266 TLF524266 TVB524266 UEX524266 UOT524266 UYP524266 VIL524266 VSH524266 WCD524266 WLZ524266 WVV524266 JJ589802 TF589802 ADB589802 AMX589802 AWT589802 BGP589802 BQL589802 CAH589802 CKD589802 CTZ589802 DDV589802 DNR589802 DXN589802 EHJ589802 ERF589802 FBB589802 FKX589802 FUT589802 GEP589802 GOL589802 GYH589802 HID589802 HRZ589802 IBV589802 ILR589802 IVN589802 JFJ589802 JPF589802 JZB589802 KIX589802 KST589802 LCP589802 LML589802 LWH589802 MGD589802 MPZ589802 MZV589802 NJR589802 NTN589802 ODJ589802 ONF589802 OXB589802 PGX589802 PQT589802 QAP589802 QKL589802 QUH589802 RED589802 RNZ589802 RXV589802 SHR589802 SRN589802 TBJ589802 TLF589802 TVB589802 UEX589802 UOT589802 UYP589802 VIL589802 VSH589802 WCD589802 WLZ589802 WVV589802 JJ655338 TF655338 ADB655338 AMX655338 AWT655338 BGP655338 BQL655338 CAH655338 CKD655338 CTZ655338 DDV655338 DNR655338 DXN655338 EHJ655338 ERF655338 FBB655338 FKX655338 FUT655338 GEP655338 GOL655338 GYH655338 HID655338 HRZ655338 IBV655338 ILR655338 IVN655338 JFJ655338 JPF655338 JZB655338 KIX655338 KST655338 LCP655338 LML655338 LWH655338 MGD655338 MPZ655338 MZV655338 NJR655338 NTN655338 ODJ655338 ONF655338 OXB655338 PGX655338 PQT655338 QAP655338 QKL655338 QUH655338 RED655338 RNZ655338 RXV655338 SHR655338 SRN655338 TBJ655338 TLF655338 TVB655338 UEX655338 UOT655338 UYP655338 VIL655338 VSH655338 WCD655338 WLZ655338 WVV655338 JJ720874 TF720874 ADB720874 AMX720874 AWT720874 BGP720874 BQL720874 CAH720874 CKD720874 CTZ720874 DDV720874 DNR720874 DXN720874 EHJ720874 ERF720874 FBB720874 FKX720874 FUT720874 GEP720874 GOL720874 GYH720874 HID720874 HRZ720874 IBV720874 ILR720874 IVN720874 JFJ720874 JPF720874 JZB720874 KIX720874 KST720874 LCP720874 LML720874 LWH720874 MGD720874 MPZ720874 MZV720874 NJR720874 NTN720874 ODJ720874 ONF720874 OXB720874 PGX720874 PQT720874 QAP720874 QKL720874 QUH720874 RED720874 RNZ720874 RXV720874 SHR720874 SRN720874 TBJ720874 TLF720874 TVB720874 UEX720874 UOT720874 UYP720874 VIL720874 VSH720874 WCD720874 WLZ720874 WVV720874 JJ786410 TF786410 ADB786410 AMX786410 AWT786410 BGP786410 BQL786410 CAH786410 CKD786410 CTZ786410 DDV786410 DNR786410 DXN786410 EHJ786410 ERF786410 FBB786410 FKX786410 FUT786410 GEP786410 GOL786410 GYH786410 HID786410 HRZ786410 IBV786410 ILR786410 IVN786410 JFJ786410 JPF786410 JZB786410 KIX786410 KST786410 LCP786410 LML786410 LWH786410 MGD786410 MPZ786410 MZV786410 NJR786410 NTN786410 ODJ786410 ONF786410 OXB786410 PGX786410 PQT786410 QAP786410 QKL786410 QUH786410 RED786410 RNZ786410 RXV786410 SHR786410 SRN786410 TBJ786410 TLF786410 TVB786410 UEX786410 UOT786410 UYP786410 VIL786410 VSH786410 WCD786410 WLZ786410 WVV786410 JJ851946 TF851946 ADB851946 AMX851946 AWT851946 BGP851946 BQL851946 CAH851946 CKD851946 CTZ851946 DDV851946 DNR851946 DXN851946 EHJ851946 ERF851946 FBB851946 FKX851946 FUT851946 GEP851946 GOL851946 GYH851946 HID851946 HRZ851946 IBV851946 ILR851946 IVN851946 JFJ851946 JPF851946 JZB851946 KIX851946 KST851946 LCP851946 LML851946 LWH851946 MGD851946 MPZ851946 MZV851946 NJR851946 NTN851946 ODJ851946 ONF851946 OXB851946 PGX851946 PQT851946 QAP851946 QKL851946 QUH851946 RED851946 RNZ851946 RXV851946 SHR851946 SRN851946 TBJ851946 TLF851946 TVB851946 UEX851946 UOT851946 UYP851946 VIL851946 VSH851946 WCD851946 WLZ851946 WVV851946 JJ917482 TF917482 ADB917482 AMX917482 AWT917482 BGP917482 BQL917482 CAH917482 CKD917482 CTZ917482 DDV917482 DNR917482 DXN917482 EHJ917482 ERF917482 FBB917482 FKX917482 FUT917482 GEP917482 GOL917482 GYH917482 HID917482 HRZ917482 IBV917482 ILR917482 IVN917482 JFJ917482 JPF917482 JZB917482 KIX917482 KST917482 LCP917482 LML917482 LWH917482 MGD917482 MPZ917482 MZV917482 NJR917482 NTN917482 ODJ917482 ONF917482 OXB917482 PGX917482 PQT917482 QAP917482 QKL917482 QUH917482 RED917482 RNZ917482 RXV917482 SHR917482 SRN917482 TBJ917482 TLF917482 TVB917482 UEX917482 UOT917482 UYP917482 VIL917482 VSH917482 WCD917482 WLZ917482 WVV917482 JJ983018 TF983018 ADB983018 AMX983018 AWT983018 BGP983018 BQL983018 CAH983018 CKD983018 CTZ983018 DDV983018 DNR983018 DXN983018 EHJ983018 ERF983018 FBB983018 FKX983018 FUT983018 GEP983018 GOL983018 GYH983018 HID983018 HRZ983018 IBV983018 ILR983018 IVN983018 JFJ983018 JPF983018 JZB983018 KIX983018 KST983018 LCP983018 LML983018 LWH983018 MGD983018 MPZ983018 MZV983018 NJR983018 NTN983018 ODJ983018 ONF983018 OXB983018 PGX983018 PQT983018 QAP983018 QKL983018 QUH983018 RED983018 RNZ983018 RXV983018 SHR983018 SRN983018 TBJ983018 TLF983018 TVB983018 UEX983018 UOT983018 UYP983018 VIL983018 VSH983018 WCD983018 WLZ983018 WVV983018"/>
    <dataValidation allowBlank="1" showInputMessage="1" showErrorMessage="1" prompt="-6.294484" sqref="JL65514 TH65514 ADD65514 AMZ65514 AWV65514 BGR65514 BQN65514 CAJ65514 CKF65514 CUB65514 DDX65514 DNT65514 DXP65514 EHL65514 ERH65514 FBD65514 FKZ65514 FUV65514 GER65514 GON65514 GYJ65514 HIF65514 HSB65514 IBX65514 ILT65514 IVP65514 JFL65514 JPH65514 JZD65514 KIZ65514 KSV65514 LCR65514 LMN65514 LWJ65514 MGF65514 MQB65514 MZX65514 NJT65514 NTP65514 ODL65514 ONH65514 OXD65514 PGZ65514 PQV65514 QAR65514 QKN65514 QUJ65514 REF65514 ROB65514 RXX65514 SHT65514 SRP65514 TBL65514 TLH65514 TVD65514 UEZ65514 UOV65514 UYR65514 VIN65514 VSJ65514 WCF65514 WMB65514 WVX65514 JL131050 TH131050 ADD131050 AMZ131050 AWV131050 BGR131050 BQN131050 CAJ131050 CKF131050 CUB131050 DDX131050 DNT131050 DXP131050 EHL131050 ERH131050 FBD131050 FKZ131050 FUV131050 GER131050 GON131050 GYJ131050 HIF131050 HSB131050 IBX131050 ILT131050 IVP131050 JFL131050 JPH131050 JZD131050 KIZ131050 KSV131050 LCR131050 LMN131050 LWJ131050 MGF131050 MQB131050 MZX131050 NJT131050 NTP131050 ODL131050 ONH131050 OXD131050 PGZ131050 PQV131050 QAR131050 QKN131050 QUJ131050 REF131050 ROB131050 RXX131050 SHT131050 SRP131050 TBL131050 TLH131050 TVD131050 UEZ131050 UOV131050 UYR131050 VIN131050 VSJ131050 WCF131050 WMB131050 WVX131050 JL196586 TH196586 ADD196586 AMZ196586 AWV196586 BGR196586 BQN196586 CAJ196586 CKF196586 CUB196586 DDX196586 DNT196586 DXP196586 EHL196586 ERH196586 FBD196586 FKZ196586 FUV196586 GER196586 GON196586 GYJ196586 HIF196586 HSB196586 IBX196586 ILT196586 IVP196586 JFL196586 JPH196586 JZD196586 KIZ196586 KSV196586 LCR196586 LMN196586 LWJ196586 MGF196586 MQB196586 MZX196586 NJT196586 NTP196586 ODL196586 ONH196586 OXD196586 PGZ196586 PQV196586 QAR196586 QKN196586 QUJ196586 REF196586 ROB196586 RXX196586 SHT196586 SRP196586 TBL196586 TLH196586 TVD196586 UEZ196586 UOV196586 UYR196586 VIN196586 VSJ196586 WCF196586 WMB196586 WVX196586 JL262122 TH262122 ADD262122 AMZ262122 AWV262122 BGR262122 BQN262122 CAJ262122 CKF262122 CUB262122 DDX262122 DNT262122 DXP262122 EHL262122 ERH262122 FBD262122 FKZ262122 FUV262122 GER262122 GON262122 GYJ262122 HIF262122 HSB262122 IBX262122 ILT262122 IVP262122 JFL262122 JPH262122 JZD262122 KIZ262122 KSV262122 LCR262122 LMN262122 LWJ262122 MGF262122 MQB262122 MZX262122 NJT262122 NTP262122 ODL262122 ONH262122 OXD262122 PGZ262122 PQV262122 QAR262122 QKN262122 QUJ262122 REF262122 ROB262122 RXX262122 SHT262122 SRP262122 TBL262122 TLH262122 TVD262122 UEZ262122 UOV262122 UYR262122 VIN262122 VSJ262122 WCF262122 WMB262122 WVX262122 JL327658 TH327658 ADD327658 AMZ327658 AWV327658 BGR327658 BQN327658 CAJ327658 CKF327658 CUB327658 DDX327658 DNT327658 DXP327658 EHL327658 ERH327658 FBD327658 FKZ327658 FUV327658 GER327658 GON327658 GYJ327658 HIF327658 HSB327658 IBX327658 ILT327658 IVP327658 JFL327658 JPH327658 JZD327658 KIZ327658 KSV327658 LCR327658 LMN327658 LWJ327658 MGF327658 MQB327658 MZX327658 NJT327658 NTP327658 ODL327658 ONH327658 OXD327658 PGZ327658 PQV327658 QAR327658 QKN327658 QUJ327658 REF327658 ROB327658 RXX327658 SHT327658 SRP327658 TBL327658 TLH327658 TVD327658 UEZ327658 UOV327658 UYR327658 VIN327658 VSJ327658 WCF327658 WMB327658 WVX327658 JL393194 TH393194 ADD393194 AMZ393194 AWV393194 BGR393194 BQN393194 CAJ393194 CKF393194 CUB393194 DDX393194 DNT393194 DXP393194 EHL393194 ERH393194 FBD393194 FKZ393194 FUV393194 GER393194 GON393194 GYJ393194 HIF393194 HSB393194 IBX393194 ILT393194 IVP393194 JFL393194 JPH393194 JZD393194 KIZ393194 KSV393194 LCR393194 LMN393194 LWJ393194 MGF393194 MQB393194 MZX393194 NJT393194 NTP393194 ODL393194 ONH393194 OXD393194 PGZ393194 PQV393194 QAR393194 QKN393194 QUJ393194 REF393194 ROB393194 RXX393194 SHT393194 SRP393194 TBL393194 TLH393194 TVD393194 UEZ393194 UOV393194 UYR393194 VIN393194 VSJ393194 WCF393194 WMB393194 WVX393194 JL458730 TH458730 ADD458730 AMZ458730 AWV458730 BGR458730 BQN458730 CAJ458730 CKF458730 CUB458730 DDX458730 DNT458730 DXP458730 EHL458730 ERH458730 FBD458730 FKZ458730 FUV458730 GER458730 GON458730 GYJ458730 HIF458730 HSB458730 IBX458730 ILT458730 IVP458730 JFL458730 JPH458730 JZD458730 KIZ458730 KSV458730 LCR458730 LMN458730 LWJ458730 MGF458730 MQB458730 MZX458730 NJT458730 NTP458730 ODL458730 ONH458730 OXD458730 PGZ458730 PQV458730 QAR458730 QKN458730 QUJ458730 REF458730 ROB458730 RXX458730 SHT458730 SRP458730 TBL458730 TLH458730 TVD458730 UEZ458730 UOV458730 UYR458730 VIN458730 VSJ458730 WCF458730 WMB458730 WVX458730 JL524266 TH524266 ADD524266 AMZ524266 AWV524266 BGR524266 BQN524266 CAJ524266 CKF524266 CUB524266 DDX524266 DNT524266 DXP524266 EHL524266 ERH524266 FBD524266 FKZ524266 FUV524266 GER524266 GON524266 GYJ524266 HIF524266 HSB524266 IBX524266 ILT524266 IVP524266 JFL524266 JPH524266 JZD524266 KIZ524266 KSV524266 LCR524266 LMN524266 LWJ524266 MGF524266 MQB524266 MZX524266 NJT524266 NTP524266 ODL524266 ONH524266 OXD524266 PGZ524266 PQV524266 QAR524266 QKN524266 QUJ524266 REF524266 ROB524266 RXX524266 SHT524266 SRP524266 TBL524266 TLH524266 TVD524266 UEZ524266 UOV524266 UYR524266 VIN524266 VSJ524266 WCF524266 WMB524266 WVX524266 JL589802 TH589802 ADD589802 AMZ589802 AWV589802 BGR589802 BQN589802 CAJ589802 CKF589802 CUB589802 DDX589802 DNT589802 DXP589802 EHL589802 ERH589802 FBD589802 FKZ589802 FUV589802 GER589802 GON589802 GYJ589802 HIF589802 HSB589802 IBX589802 ILT589802 IVP589802 JFL589802 JPH589802 JZD589802 KIZ589802 KSV589802 LCR589802 LMN589802 LWJ589802 MGF589802 MQB589802 MZX589802 NJT589802 NTP589802 ODL589802 ONH589802 OXD589802 PGZ589802 PQV589802 QAR589802 QKN589802 QUJ589802 REF589802 ROB589802 RXX589802 SHT589802 SRP589802 TBL589802 TLH589802 TVD589802 UEZ589802 UOV589802 UYR589802 VIN589802 VSJ589802 WCF589802 WMB589802 WVX589802 JL655338 TH655338 ADD655338 AMZ655338 AWV655338 BGR655338 BQN655338 CAJ655338 CKF655338 CUB655338 DDX655338 DNT655338 DXP655338 EHL655338 ERH655338 FBD655338 FKZ655338 FUV655338 GER655338 GON655338 GYJ655338 HIF655338 HSB655338 IBX655338 ILT655338 IVP655338 JFL655338 JPH655338 JZD655338 KIZ655338 KSV655338 LCR655338 LMN655338 LWJ655338 MGF655338 MQB655338 MZX655338 NJT655338 NTP655338 ODL655338 ONH655338 OXD655338 PGZ655338 PQV655338 QAR655338 QKN655338 QUJ655338 REF655338 ROB655338 RXX655338 SHT655338 SRP655338 TBL655338 TLH655338 TVD655338 UEZ655338 UOV655338 UYR655338 VIN655338 VSJ655338 WCF655338 WMB655338 WVX655338 JL720874 TH720874 ADD720874 AMZ720874 AWV720874 BGR720874 BQN720874 CAJ720874 CKF720874 CUB720874 DDX720874 DNT720874 DXP720874 EHL720874 ERH720874 FBD720874 FKZ720874 FUV720874 GER720874 GON720874 GYJ720874 HIF720874 HSB720874 IBX720874 ILT720874 IVP720874 JFL720874 JPH720874 JZD720874 KIZ720874 KSV720874 LCR720874 LMN720874 LWJ720874 MGF720874 MQB720874 MZX720874 NJT720874 NTP720874 ODL720874 ONH720874 OXD720874 PGZ720874 PQV720874 QAR720874 QKN720874 QUJ720874 REF720874 ROB720874 RXX720874 SHT720874 SRP720874 TBL720874 TLH720874 TVD720874 UEZ720874 UOV720874 UYR720874 VIN720874 VSJ720874 WCF720874 WMB720874 WVX720874 JL786410 TH786410 ADD786410 AMZ786410 AWV786410 BGR786410 BQN786410 CAJ786410 CKF786410 CUB786410 DDX786410 DNT786410 DXP786410 EHL786410 ERH786410 FBD786410 FKZ786410 FUV786410 GER786410 GON786410 GYJ786410 HIF786410 HSB786410 IBX786410 ILT786410 IVP786410 JFL786410 JPH786410 JZD786410 KIZ786410 KSV786410 LCR786410 LMN786410 LWJ786410 MGF786410 MQB786410 MZX786410 NJT786410 NTP786410 ODL786410 ONH786410 OXD786410 PGZ786410 PQV786410 QAR786410 QKN786410 QUJ786410 REF786410 ROB786410 RXX786410 SHT786410 SRP786410 TBL786410 TLH786410 TVD786410 UEZ786410 UOV786410 UYR786410 VIN786410 VSJ786410 WCF786410 WMB786410 WVX786410 JL851946 TH851946 ADD851946 AMZ851946 AWV851946 BGR851946 BQN851946 CAJ851946 CKF851946 CUB851946 DDX851946 DNT851946 DXP851946 EHL851946 ERH851946 FBD851946 FKZ851946 FUV851946 GER851946 GON851946 GYJ851946 HIF851946 HSB851946 IBX851946 ILT851946 IVP851946 JFL851946 JPH851946 JZD851946 KIZ851946 KSV851946 LCR851946 LMN851946 LWJ851946 MGF851946 MQB851946 MZX851946 NJT851946 NTP851946 ODL851946 ONH851946 OXD851946 PGZ851946 PQV851946 QAR851946 QKN851946 QUJ851946 REF851946 ROB851946 RXX851946 SHT851946 SRP851946 TBL851946 TLH851946 TVD851946 UEZ851946 UOV851946 UYR851946 VIN851946 VSJ851946 WCF851946 WMB851946 WVX851946 JL917482 TH917482 ADD917482 AMZ917482 AWV917482 BGR917482 BQN917482 CAJ917482 CKF917482 CUB917482 DDX917482 DNT917482 DXP917482 EHL917482 ERH917482 FBD917482 FKZ917482 FUV917482 GER917482 GON917482 GYJ917482 HIF917482 HSB917482 IBX917482 ILT917482 IVP917482 JFL917482 JPH917482 JZD917482 KIZ917482 KSV917482 LCR917482 LMN917482 LWJ917482 MGF917482 MQB917482 MZX917482 NJT917482 NTP917482 ODL917482 ONH917482 OXD917482 PGZ917482 PQV917482 QAR917482 QKN917482 QUJ917482 REF917482 ROB917482 RXX917482 SHT917482 SRP917482 TBL917482 TLH917482 TVD917482 UEZ917482 UOV917482 UYR917482 VIN917482 VSJ917482 WCF917482 WMB917482 WVX917482 JL983018 TH983018 ADD983018 AMZ983018 AWV983018 BGR983018 BQN983018 CAJ983018 CKF983018 CUB983018 DDX983018 DNT983018 DXP983018 EHL983018 ERH983018 FBD983018 FKZ983018 FUV983018 GER983018 GON983018 GYJ983018 HIF983018 HSB983018 IBX983018 ILT983018 IVP983018 JFL983018 JPH983018 JZD983018 KIZ983018 KSV983018 LCR983018 LMN983018 LWJ983018 MGF983018 MQB983018 MZX983018 NJT983018 NTP983018 ODL983018 ONH983018 OXD983018 PGZ983018 PQV983018 QAR983018 QKN983018 QUJ983018 REF983018 ROB983018 RXX983018 SHT983018 SRP983018 TBL983018 TLH983018 TVD983018 UEZ983018 UOV983018 UYR983018 VIN983018 VSJ983018 WCF983018 WMB983018 WVX983018"/>
    <dataValidation allowBlank="1" showInputMessage="1" showErrorMessage="1" prompt="53° 20' 52.4436''" sqref="JJ65518 TF65518 ADB65518 AMX65518 AWT65518 BGP65518 BQL65518 CAH65518 CKD65518 CTZ65518 DDV65518 DNR65518 DXN65518 EHJ65518 ERF65518 FBB65518 FKX65518 FUT65518 GEP65518 GOL65518 GYH65518 HID65518 HRZ65518 IBV65518 ILR65518 IVN65518 JFJ65518 JPF65518 JZB65518 KIX65518 KST65518 LCP65518 LML65518 LWH65518 MGD65518 MPZ65518 MZV65518 NJR65518 NTN65518 ODJ65518 ONF65518 OXB65518 PGX65518 PQT65518 QAP65518 QKL65518 QUH65518 RED65518 RNZ65518 RXV65518 SHR65518 SRN65518 TBJ65518 TLF65518 TVB65518 UEX65518 UOT65518 UYP65518 VIL65518 VSH65518 WCD65518 WLZ65518 WVV65518 JJ131054 TF131054 ADB131054 AMX131054 AWT131054 BGP131054 BQL131054 CAH131054 CKD131054 CTZ131054 DDV131054 DNR131054 DXN131054 EHJ131054 ERF131054 FBB131054 FKX131054 FUT131054 GEP131054 GOL131054 GYH131054 HID131054 HRZ131054 IBV131054 ILR131054 IVN131054 JFJ131054 JPF131054 JZB131054 KIX131054 KST131054 LCP131054 LML131054 LWH131054 MGD131054 MPZ131054 MZV131054 NJR131054 NTN131054 ODJ131054 ONF131054 OXB131054 PGX131054 PQT131054 QAP131054 QKL131054 QUH131054 RED131054 RNZ131054 RXV131054 SHR131054 SRN131054 TBJ131054 TLF131054 TVB131054 UEX131054 UOT131054 UYP131054 VIL131054 VSH131054 WCD131054 WLZ131054 WVV131054 JJ196590 TF196590 ADB196590 AMX196590 AWT196590 BGP196590 BQL196590 CAH196590 CKD196590 CTZ196590 DDV196590 DNR196590 DXN196590 EHJ196590 ERF196590 FBB196590 FKX196590 FUT196590 GEP196590 GOL196590 GYH196590 HID196590 HRZ196590 IBV196590 ILR196590 IVN196590 JFJ196590 JPF196590 JZB196590 KIX196590 KST196590 LCP196590 LML196590 LWH196590 MGD196590 MPZ196590 MZV196590 NJR196590 NTN196590 ODJ196590 ONF196590 OXB196590 PGX196590 PQT196590 QAP196590 QKL196590 QUH196590 RED196590 RNZ196590 RXV196590 SHR196590 SRN196590 TBJ196590 TLF196590 TVB196590 UEX196590 UOT196590 UYP196590 VIL196590 VSH196590 WCD196590 WLZ196590 WVV196590 JJ262126 TF262126 ADB262126 AMX262126 AWT262126 BGP262126 BQL262126 CAH262126 CKD262126 CTZ262126 DDV262126 DNR262126 DXN262126 EHJ262126 ERF262126 FBB262126 FKX262126 FUT262126 GEP262126 GOL262126 GYH262126 HID262126 HRZ262126 IBV262126 ILR262126 IVN262126 JFJ262126 JPF262126 JZB262126 KIX262126 KST262126 LCP262126 LML262126 LWH262126 MGD262126 MPZ262126 MZV262126 NJR262126 NTN262126 ODJ262126 ONF262126 OXB262126 PGX262126 PQT262126 QAP262126 QKL262126 QUH262126 RED262126 RNZ262126 RXV262126 SHR262126 SRN262126 TBJ262126 TLF262126 TVB262126 UEX262126 UOT262126 UYP262126 VIL262126 VSH262126 WCD262126 WLZ262126 WVV262126 JJ327662 TF327662 ADB327662 AMX327662 AWT327662 BGP327662 BQL327662 CAH327662 CKD327662 CTZ327662 DDV327662 DNR327662 DXN327662 EHJ327662 ERF327662 FBB327662 FKX327662 FUT327662 GEP327662 GOL327662 GYH327662 HID327662 HRZ327662 IBV327662 ILR327662 IVN327662 JFJ327662 JPF327662 JZB327662 KIX327662 KST327662 LCP327662 LML327662 LWH327662 MGD327662 MPZ327662 MZV327662 NJR327662 NTN327662 ODJ327662 ONF327662 OXB327662 PGX327662 PQT327662 QAP327662 QKL327662 QUH327662 RED327662 RNZ327662 RXV327662 SHR327662 SRN327662 TBJ327662 TLF327662 TVB327662 UEX327662 UOT327662 UYP327662 VIL327662 VSH327662 WCD327662 WLZ327662 WVV327662 JJ393198 TF393198 ADB393198 AMX393198 AWT393198 BGP393198 BQL393198 CAH393198 CKD393198 CTZ393198 DDV393198 DNR393198 DXN393198 EHJ393198 ERF393198 FBB393198 FKX393198 FUT393198 GEP393198 GOL393198 GYH393198 HID393198 HRZ393198 IBV393198 ILR393198 IVN393198 JFJ393198 JPF393198 JZB393198 KIX393198 KST393198 LCP393198 LML393198 LWH393198 MGD393198 MPZ393198 MZV393198 NJR393198 NTN393198 ODJ393198 ONF393198 OXB393198 PGX393198 PQT393198 QAP393198 QKL393198 QUH393198 RED393198 RNZ393198 RXV393198 SHR393198 SRN393198 TBJ393198 TLF393198 TVB393198 UEX393198 UOT393198 UYP393198 VIL393198 VSH393198 WCD393198 WLZ393198 WVV393198 JJ458734 TF458734 ADB458734 AMX458734 AWT458734 BGP458734 BQL458734 CAH458734 CKD458734 CTZ458734 DDV458734 DNR458734 DXN458734 EHJ458734 ERF458734 FBB458734 FKX458734 FUT458734 GEP458734 GOL458734 GYH458734 HID458734 HRZ458734 IBV458734 ILR458734 IVN458734 JFJ458734 JPF458734 JZB458734 KIX458734 KST458734 LCP458734 LML458734 LWH458734 MGD458734 MPZ458734 MZV458734 NJR458734 NTN458734 ODJ458734 ONF458734 OXB458734 PGX458734 PQT458734 QAP458734 QKL458734 QUH458734 RED458734 RNZ458734 RXV458734 SHR458734 SRN458734 TBJ458734 TLF458734 TVB458734 UEX458734 UOT458734 UYP458734 VIL458734 VSH458734 WCD458734 WLZ458734 WVV458734 JJ524270 TF524270 ADB524270 AMX524270 AWT524270 BGP524270 BQL524270 CAH524270 CKD524270 CTZ524270 DDV524270 DNR524270 DXN524270 EHJ524270 ERF524270 FBB524270 FKX524270 FUT524270 GEP524270 GOL524270 GYH524270 HID524270 HRZ524270 IBV524270 ILR524270 IVN524270 JFJ524270 JPF524270 JZB524270 KIX524270 KST524270 LCP524270 LML524270 LWH524270 MGD524270 MPZ524270 MZV524270 NJR524270 NTN524270 ODJ524270 ONF524270 OXB524270 PGX524270 PQT524270 QAP524270 QKL524270 QUH524270 RED524270 RNZ524270 RXV524270 SHR524270 SRN524270 TBJ524270 TLF524270 TVB524270 UEX524270 UOT524270 UYP524270 VIL524270 VSH524270 WCD524270 WLZ524270 WVV524270 JJ589806 TF589806 ADB589806 AMX589806 AWT589806 BGP589806 BQL589806 CAH589806 CKD589806 CTZ589806 DDV589806 DNR589806 DXN589806 EHJ589806 ERF589806 FBB589806 FKX589806 FUT589806 GEP589806 GOL589806 GYH589806 HID589806 HRZ589806 IBV589806 ILR589806 IVN589806 JFJ589806 JPF589806 JZB589806 KIX589806 KST589806 LCP589806 LML589806 LWH589806 MGD589806 MPZ589806 MZV589806 NJR589806 NTN589806 ODJ589806 ONF589806 OXB589806 PGX589806 PQT589806 QAP589806 QKL589806 QUH589806 RED589806 RNZ589806 RXV589806 SHR589806 SRN589806 TBJ589806 TLF589806 TVB589806 UEX589806 UOT589806 UYP589806 VIL589806 VSH589806 WCD589806 WLZ589806 WVV589806 JJ655342 TF655342 ADB655342 AMX655342 AWT655342 BGP655342 BQL655342 CAH655342 CKD655342 CTZ655342 DDV655342 DNR655342 DXN655342 EHJ655342 ERF655342 FBB655342 FKX655342 FUT655342 GEP655342 GOL655342 GYH655342 HID655342 HRZ655342 IBV655342 ILR655342 IVN655342 JFJ655342 JPF655342 JZB655342 KIX655342 KST655342 LCP655342 LML655342 LWH655342 MGD655342 MPZ655342 MZV655342 NJR655342 NTN655342 ODJ655342 ONF655342 OXB655342 PGX655342 PQT655342 QAP655342 QKL655342 QUH655342 RED655342 RNZ655342 RXV655342 SHR655342 SRN655342 TBJ655342 TLF655342 TVB655342 UEX655342 UOT655342 UYP655342 VIL655342 VSH655342 WCD655342 WLZ655342 WVV655342 JJ720878 TF720878 ADB720878 AMX720878 AWT720878 BGP720878 BQL720878 CAH720878 CKD720878 CTZ720878 DDV720878 DNR720878 DXN720878 EHJ720878 ERF720878 FBB720878 FKX720878 FUT720878 GEP720878 GOL720878 GYH720878 HID720878 HRZ720878 IBV720878 ILR720878 IVN720878 JFJ720878 JPF720878 JZB720878 KIX720878 KST720878 LCP720878 LML720878 LWH720878 MGD720878 MPZ720878 MZV720878 NJR720878 NTN720878 ODJ720878 ONF720878 OXB720878 PGX720878 PQT720878 QAP720878 QKL720878 QUH720878 RED720878 RNZ720878 RXV720878 SHR720878 SRN720878 TBJ720878 TLF720878 TVB720878 UEX720878 UOT720878 UYP720878 VIL720878 VSH720878 WCD720878 WLZ720878 WVV720878 JJ786414 TF786414 ADB786414 AMX786414 AWT786414 BGP786414 BQL786414 CAH786414 CKD786414 CTZ786414 DDV786414 DNR786414 DXN786414 EHJ786414 ERF786414 FBB786414 FKX786414 FUT786414 GEP786414 GOL786414 GYH786414 HID786414 HRZ786414 IBV786414 ILR786414 IVN786414 JFJ786414 JPF786414 JZB786414 KIX786414 KST786414 LCP786414 LML786414 LWH786414 MGD786414 MPZ786414 MZV786414 NJR786414 NTN786414 ODJ786414 ONF786414 OXB786414 PGX786414 PQT786414 QAP786414 QKL786414 QUH786414 RED786414 RNZ786414 RXV786414 SHR786414 SRN786414 TBJ786414 TLF786414 TVB786414 UEX786414 UOT786414 UYP786414 VIL786414 VSH786414 WCD786414 WLZ786414 WVV786414 JJ851950 TF851950 ADB851950 AMX851950 AWT851950 BGP851950 BQL851950 CAH851950 CKD851950 CTZ851950 DDV851950 DNR851950 DXN851950 EHJ851950 ERF851950 FBB851950 FKX851950 FUT851950 GEP851950 GOL851950 GYH851950 HID851950 HRZ851950 IBV851950 ILR851950 IVN851950 JFJ851950 JPF851950 JZB851950 KIX851950 KST851950 LCP851950 LML851950 LWH851950 MGD851950 MPZ851950 MZV851950 NJR851950 NTN851950 ODJ851950 ONF851950 OXB851950 PGX851950 PQT851950 QAP851950 QKL851950 QUH851950 RED851950 RNZ851950 RXV851950 SHR851950 SRN851950 TBJ851950 TLF851950 TVB851950 UEX851950 UOT851950 UYP851950 VIL851950 VSH851950 WCD851950 WLZ851950 WVV851950 JJ917486 TF917486 ADB917486 AMX917486 AWT917486 BGP917486 BQL917486 CAH917486 CKD917486 CTZ917486 DDV917486 DNR917486 DXN917486 EHJ917486 ERF917486 FBB917486 FKX917486 FUT917486 GEP917486 GOL917486 GYH917486 HID917486 HRZ917486 IBV917486 ILR917486 IVN917486 JFJ917486 JPF917486 JZB917486 KIX917486 KST917486 LCP917486 LML917486 LWH917486 MGD917486 MPZ917486 MZV917486 NJR917486 NTN917486 ODJ917486 ONF917486 OXB917486 PGX917486 PQT917486 QAP917486 QKL917486 QUH917486 RED917486 RNZ917486 RXV917486 SHR917486 SRN917486 TBJ917486 TLF917486 TVB917486 UEX917486 UOT917486 UYP917486 VIL917486 VSH917486 WCD917486 WLZ917486 WVV917486 JJ983022 TF983022 ADB983022 AMX983022 AWT983022 BGP983022 BQL983022 CAH983022 CKD983022 CTZ983022 DDV983022 DNR983022 DXN983022 EHJ983022 ERF983022 FBB983022 FKX983022 FUT983022 GEP983022 GOL983022 GYH983022 HID983022 HRZ983022 IBV983022 ILR983022 IVN983022 JFJ983022 JPF983022 JZB983022 KIX983022 KST983022 LCP983022 LML983022 LWH983022 MGD983022 MPZ983022 MZV983022 NJR983022 NTN983022 ODJ983022 ONF983022 OXB983022 PGX983022 PQT983022 QAP983022 QKL983022 QUH983022 RED983022 RNZ983022 RXV983022 SHR983022 SRN983022 TBJ983022 TLF983022 TVB983022 UEX983022 UOT983022 UYP983022 VIL983022 VSH983022 WCD983022 WLZ983022 WVV983022"/>
    <dataValidation allowBlank="1" showInputMessage="1" showErrorMessage="1" prompt="6° 17' 40.1424''" sqref="JL65518 TH65518 ADD65518 AMZ65518 AWV65518 BGR65518 BQN65518 CAJ65518 CKF65518 CUB65518 DDX65518 DNT65518 DXP65518 EHL65518 ERH65518 FBD65518 FKZ65518 FUV65518 GER65518 GON65518 GYJ65518 HIF65518 HSB65518 IBX65518 ILT65518 IVP65518 JFL65518 JPH65518 JZD65518 KIZ65518 KSV65518 LCR65518 LMN65518 LWJ65518 MGF65518 MQB65518 MZX65518 NJT65518 NTP65518 ODL65518 ONH65518 OXD65518 PGZ65518 PQV65518 QAR65518 QKN65518 QUJ65518 REF65518 ROB65518 RXX65518 SHT65518 SRP65518 TBL65518 TLH65518 TVD65518 UEZ65518 UOV65518 UYR65518 VIN65518 VSJ65518 WCF65518 WMB65518 WVX65518 JL131054 TH131054 ADD131054 AMZ131054 AWV131054 BGR131054 BQN131054 CAJ131054 CKF131054 CUB131054 DDX131054 DNT131054 DXP131054 EHL131054 ERH131054 FBD131054 FKZ131054 FUV131054 GER131054 GON131054 GYJ131054 HIF131054 HSB131054 IBX131054 ILT131054 IVP131054 JFL131054 JPH131054 JZD131054 KIZ131054 KSV131054 LCR131054 LMN131054 LWJ131054 MGF131054 MQB131054 MZX131054 NJT131054 NTP131054 ODL131054 ONH131054 OXD131054 PGZ131054 PQV131054 QAR131054 QKN131054 QUJ131054 REF131054 ROB131054 RXX131054 SHT131054 SRP131054 TBL131054 TLH131054 TVD131054 UEZ131054 UOV131054 UYR131054 VIN131054 VSJ131054 WCF131054 WMB131054 WVX131054 JL196590 TH196590 ADD196590 AMZ196590 AWV196590 BGR196590 BQN196590 CAJ196590 CKF196590 CUB196590 DDX196590 DNT196590 DXP196590 EHL196590 ERH196590 FBD196590 FKZ196590 FUV196590 GER196590 GON196590 GYJ196590 HIF196590 HSB196590 IBX196590 ILT196590 IVP196590 JFL196590 JPH196590 JZD196590 KIZ196590 KSV196590 LCR196590 LMN196590 LWJ196590 MGF196590 MQB196590 MZX196590 NJT196590 NTP196590 ODL196590 ONH196590 OXD196590 PGZ196590 PQV196590 QAR196590 QKN196590 QUJ196590 REF196590 ROB196590 RXX196590 SHT196590 SRP196590 TBL196590 TLH196590 TVD196590 UEZ196590 UOV196590 UYR196590 VIN196590 VSJ196590 WCF196590 WMB196590 WVX196590 JL262126 TH262126 ADD262126 AMZ262126 AWV262126 BGR262126 BQN262126 CAJ262126 CKF262126 CUB262126 DDX262126 DNT262126 DXP262126 EHL262126 ERH262126 FBD262126 FKZ262126 FUV262126 GER262126 GON262126 GYJ262126 HIF262126 HSB262126 IBX262126 ILT262126 IVP262126 JFL262126 JPH262126 JZD262126 KIZ262126 KSV262126 LCR262126 LMN262126 LWJ262126 MGF262126 MQB262126 MZX262126 NJT262126 NTP262126 ODL262126 ONH262126 OXD262126 PGZ262126 PQV262126 QAR262126 QKN262126 QUJ262126 REF262126 ROB262126 RXX262126 SHT262126 SRP262126 TBL262126 TLH262126 TVD262126 UEZ262126 UOV262126 UYR262126 VIN262126 VSJ262126 WCF262126 WMB262126 WVX262126 JL327662 TH327662 ADD327662 AMZ327662 AWV327662 BGR327662 BQN327662 CAJ327662 CKF327662 CUB327662 DDX327662 DNT327662 DXP327662 EHL327662 ERH327662 FBD327662 FKZ327662 FUV327662 GER327662 GON327662 GYJ327662 HIF327662 HSB327662 IBX327662 ILT327662 IVP327662 JFL327662 JPH327662 JZD327662 KIZ327662 KSV327662 LCR327662 LMN327662 LWJ327662 MGF327662 MQB327662 MZX327662 NJT327662 NTP327662 ODL327662 ONH327662 OXD327662 PGZ327662 PQV327662 QAR327662 QKN327662 QUJ327662 REF327662 ROB327662 RXX327662 SHT327662 SRP327662 TBL327662 TLH327662 TVD327662 UEZ327662 UOV327662 UYR327662 VIN327662 VSJ327662 WCF327662 WMB327662 WVX327662 JL393198 TH393198 ADD393198 AMZ393198 AWV393198 BGR393198 BQN393198 CAJ393198 CKF393198 CUB393198 DDX393198 DNT393198 DXP393198 EHL393198 ERH393198 FBD393198 FKZ393198 FUV393198 GER393198 GON393198 GYJ393198 HIF393198 HSB393198 IBX393198 ILT393198 IVP393198 JFL393198 JPH393198 JZD393198 KIZ393198 KSV393198 LCR393198 LMN393198 LWJ393198 MGF393198 MQB393198 MZX393198 NJT393198 NTP393198 ODL393198 ONH393198 OXD393198 PGZ393198 PQV393198 QAR393198 QKN393198 QUJ393198 REF393198 ROB393198 RXX393198 SHT393198 SRP393198 TBL393198 TLH393198 TVD393198 UEZ393198 UOV393198 UYR393198 VIN393198 VSJ393198 WCF393198 WMB393198 WVX393198 JL458734 TH458734 ADD458734 AMZ458734 AWV458734 BGR458734 BQN458734 CAJ458734 CKF458734 CUB458734 DDX458734 DNT458734 DXP458734 EHL458734 ERH458734 FBD458734 FKZ458734 FUV458734 GER458734 GON458734 GYJ458734 HIF458734 HSB458734 IBX458734 ILT458734 IVP458734 JFL458734 JPH458734 JZD458734 KIZ458734 KSV458734 LCR458734 LMN458734 LWJ458734 MGF458734 MQB458734 MZX458734 NJT458734 NTP458734 ODL458734 ONH458734 OXD458734 PGZ458734 PQV458734 QAR458734 QKN458734 QUJ458734 REF458734 ROB458734 RXX458734 SHT458734 SRP458734 TBL458734 TLH458734 TVD458734 UEZ458734 UOV458734 UYR458734 VIN458734 VSJ458734 WCF458734 WMB458734 WVX458734 JL524270 TH524270 ADD524270 AMZ524270 AWV524270 BGR524270 BQN524270 CAJ524270 CKF524270 CUB524270 DDX524270 DNT524270 DXP524270 EHL524270 ERH524270 FBD524270 FKZ524270 FUV524270 GER524270 GON524270 GYJ524270 HIF524270 HSB524270 IBX524270 ILT524270 IVP524270 JFL524270 JPH524270 JZD524270 KIZ524270 KSV524270 LCR524270 LMN524270 LWJ524270 MGF524270 MQB524270 MZX524270 NJT524270 NTP524270 ODL524270 ONH524270 OXD524270 PGZ524270 PQV524270 QAR524270 QKN524270 QUJ524270 REF524270 ROB524270 RXX524270 SHT524270 SRP524270 TBL524270 TLH524270 TVD524270 UEZ524270 UOV524270 UYR524270 VIN524270 VSJ524270 WCF524270 WMB524270 WVX524270 JL589806 TH589806 ADD589806 AMZ589806 AWV589806 BGR589806 BQN589806 CAJ589806 CKF589806 CUB589806 DDX589806 DNT589806 DXP589806 EHL589806 ERH589806 FBD589806 FKZ589806 FUV589806 GER589806 GON589806 GYJ589806 HIF589806 HSB589806 IBX589806 ILT589806 IVP589806 JFL589806 JPH589806 JZD589806 KIZ589806 KSV589806 LCR589806 LMN589806 LWJ589806 MGF589806 MQB589806 MZX589806 NJT589806 NTP589806 ODL589806 ONH589806 OXD589806 PGZ589806 PQV589806 QAR589806 QKN589806 QUJ589806 REF589806 ROB589806 RXX589806 SHT589806 SRP589806 TBL589806 TLH589806 TVD589806 UEZ589806 UOV589806 UYR589806 VIN589806 VSJ589806 WCF589806 WMB589806 WVX589806 JL655342 TH655342 ADD655342 AMZ655342 AWV655342 BGR655342 BQN655342 CAJ655342 CKF655342 CUB655342 DDX655342 DNT655342 DXP655342 EHL655342 ERH655342 FBD655342 FKZ655342 FUV655342 GER655342 GON655342 GYJ655342 HIF655342 HSB655342 IBX655342 ILT655342 IVP655342 JFL655342 JPH655342 JZD655342 KIZ655342 KSV655342 LCR655342 LMN655342 LWJ655342 MGF655342 MQB655342 MZX655342 NJT655342 NTP655342 ODL655342 ONH655342 OXD655342 PGZ655342 PQV655342 QAR655342 QKN655342 QUJ655342 REF655342 ROB655342 RXX655342 SHT655342 SRP655342 TBL655342 TLH655342 TVD655342 UEZ655342 UOV655342 UYR655342 VIN655342 VSJ655342 WCF655342 WMB655342 WVX655342 JL720878 TH720878 ADD720878 AMZ720878 AWV720878 BGR720878 BQN720878 CAJ720878 CKF720878 CUB720878 DDX720878 DNT720878 DXP720878 EHL720878 ERH720878 FBD720878 FKZ720878 FUV720878 GER720878 GON720878 GYJ720878 HIF720878 HSB720878 IBX720878 ILT720878 IVP720878 JFL720878 JPH720878 JZD720878 KIZ720878 KSV720878 LCR720878 LMN720878 LWJ720878 MGF720878 MQB720878 MZX720878 NJT720878 NTP720878 ODL720878 ONH720878 OXD720878 PGZ720878 PQV720878 QAR720878 QKN720878 QUJ720878 REF720878 ROB720878 RXX720878 SHT720878 SRP720878 TBL720878 TLH720878 TVD720878 UEZ720878 UOV720878 UYR720878 VIN720878 VSJ720878 WCF720878 WMB720878 WVX720878 JL786414 TH786414 ADD786414 AMZ786414 AWV786414 BGR786414 BQN786414 CAJ786414 CKF786414 CUB786414 DDX786414 DNT786414 DXP786414 EHL786414 ERH786414 FBD786414 FKZ786414 FUV786414 GER786414 GON786414 GYJ786414 HIF786414 HSB786414 IBX786414 ILT786414 IVP786414 JFL786414 JPH786414 JZD786414 KIZ786414 KSV786414 LCR786414 LMN786414 LWJ786414 MGF786414 MQB786414 MZX786414 NJT786414 NTP786414 ODL786414 ONH786414 OXD786414 PGZ786414 PQV786414 QAR786414 QKN786414 QUJ786414 REF786414 ROB786414 RXX786414 SHT786414 SRP786414 TBL786414 TLH786414 TVD786414 UEZ786414 UOV786414 UYR786414 VIN786414 VSJ786414 WCF786414 WMB786414 WVX786414 JL851950 TH851950 ADD851950 AMZ851950 AWV851950 BGR851950 BQN851950 CAJ851950 CKF851950 CUB851950 DDX851950 DNT851950 DXP851950 EHL851950 ERH851950 FBD851950 FKZ851950 FUV851950 GER851950 GON851950 GYJ851950 HIF851950 HSB851950 IBX851950 ILT851950 IVP851950 JFL851950 JPH851950 JZD851950 KIZ851950 KSV851950 LCR851950 LMN851950 LWJ851950 MGF851950 MQB851950 MZX851950 NJT851950 NTP851950 ODL851950 ONH851950 OXD851950 PGZ851950 PQV851950 QAR851950 QKN851950 QUJ851950 REF851950 ROB851950 RXX851950 SHT851950 SRP851950 TBL851950 TLH851950 TVD851950 UEZ851950 UOV851950 UYR851950 VIN851950 VSJ851950 WCF851950 WMB851950 WVX851950 JL917486 TH917486 ADD917486 AMZ917486 AWV917486 BGR917486 BQN917486 CAJ917486 CKF917486 CUB917486 DDX917486 DNT917486 DXP917486 EHL917486 ERH917486 FBD917486 FKZ917486 FUV917486 GER917486 GON917486 GYJ917486 HIF917486 HSB917486 IBX917486 ILT917486 IVP917486 JFL917486 JPH917486 JZD917486 KIZ917486 KSV917486 LCR917486 LMN917486 LWJ917486 MGF917486 MQB917486 MZX917486 NJT917486 NTP917486 ODL917486 ONH917486 OXD917486 PGZ917486 PQV917486 QAR917486 QKN917486 QUJ917486 REF917486 ROB917486 RXX917486 SHT917486 SRP917486 TBL917486 TLH917486 TVD917486 UEZ917486 UOV917486 UYR917486 VIN917486 VSJ917486 WCF917486 WMB917486 WVX917486 JL983022 TH983022 ADD983022 AMZ983022 AWV983022 BGR983022 BQN983022 CAJ983022 CKF983022 CUB983022 DDX983022 DNT983022 DXP983022 EHL983022 ERH983022 FBD983022 FKZ983022 FUV983022 GER983022 GON983022 GYJ983022 HIF983022 HSB983022 IBX983022 ILT983022 IVP983022 JFL983022 JPH983022 JZD983022 KIZ983022 KSV983022 LCR983022 LMN983022 LWJ983022 MGF983022 MQB983022 MZX983022 NJT983022 NTP983022 ODL983022 ONH983022 OXD983022 PGZ983022 PQV983022 QAR983022 QKN983022 QUJ983022 REF983022 ROB983022 RXX983022 SHT983022 SRP983022 TBL983022 TLH983022 TVD983022 UEZ983022 UOV983022 UYR983022 VIN983022 VSJ983022 WCF983022 WMB983022 WVX983022"/>
    <dataValidation type="list" allowBlank="1" showInputMessage="1" showErrorMessage="1" sqref="I5:J6">
      <formula1>"5,10,20,30,60"</formula1>
    </dataValidation>
    <dataValidation type="list" allowBlank="1" showInputMessage="1" showErrorMessage="1" sqref="W7">
      <formula1>"Profile 1, Profile 2A,Profile 2B, Profile 2C, Profile 3A, Profile 3B, Profile 3C, Profile 4A, Profile 4B, Profile 4C, Profile 4D, PNSO"</formula1>
    </dataValidation>
    <dataValidation type="list" allowBlank="1" showInputMessage="1" showErrorMessage="1" sqref="I38:J38">
      <formula1>"Central, Low, High"</formula1>
    </dataValidation>
    <dataValidation type="list" allowBlank="1" showInputMessage="1" showErrorMessage="1" sqref="W17:X17">
      <formula1>"0.10,0.11,0.12,0.13,0.14,0.15,0.16,0.17,0.18,0.19,0.20"</formula1>
    </dataValidation>
    <dataValidation type="list" allowBlank="1" showInputMessage="1" showErrorMessage="1" sqref="W5">
      <formula1>"C0,C1,C2,C3,C4,C5,M1,M2,M3,M4,M5,M6"</formula1>
    </dataValidation>
    <dataValidation type="list" allowBlank="1" showInputMessage="1" showErrorMessage="1" sqref="L5:M5">
      <formula1>"0, 0.01, 0.02, 0.03, 0.04, 0.05, 0.06, 0.07, 0.08, 0.09, 0.1"</formula1>
    </dataValidation>
  </dataValidations>
  <pageMargins left="0.25" right="0.25" top="0.75" bottom="0.75" header="0.3" footer="0.3"/>
  <pageSetup paperSize="9" orientation="landscape" r:id="rId1"/>
  <headerFooter>
    <oddHeader xml:space="preserve">&amp;L&amp;"Arial,Italic"TII Publications
Design of Road Lighting for the National Road Network&amp;R&amp;"Arial,Italic"DN-LHT-03038
July 2018
</oddHeader>
    <oddFooter>&amp;L&amp;"Arial,Regular"Lighting Evaluation Tool &amp; Justification for Lighting the Mainline
Appendix B1&amp;R&amp;"Arial,Regular"&amp;A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view="pageLayout" zoomScale="80" zoomScaleNormal="100" zoomScalePageLayoutView="80" workbookViewId="0">
      <selection activeCell="C6" sqref="C6"/>
    </sheetView>
  </sheetViews>
  <sheetFormatPr defaultRowHeight="15" customHeight="1" x14ac:dyDescent="0.3"/>
  <cols>
    <col min="1" max="1" width="2.6640625" style="2" customWidth="1"/>
    <col min="2" max="2" width="9.44140625" style="2" customWidth="1"/>
    <col min="3" max="3" width="29.6640625" style="2" customWidth="1"/>
    <col min="4" max="4" width="10.6640625" style="2" customWidth="1"/>
    <col min="5" max="5" width="12.6640625" style="2" customWidth="1"/>
    <col min="6" max="10" width="13.109375" style="2" customWidth="1"/>
    <col min="11" max="11" width="9.44140625" style="2" customWidth="1"/>
    <col min="12" max="12" width="2.5546875" style="2" customWidth="1"/>
    <col min="13" max="258" width="7.6640625" style="2" customWidth="1"/>
    <col min="259" max="259" width="14.33203125" style="2" customWidth="1"/>
    <col min="260" max="260" width="4" style="2" customWidth="1"/>
    <col min="261" max="261" width="14.33203125" style="2" customWidth="1"/>
    <col min="262" max="262" width="4" style="2" customWidth="1"/>
    <col min="263" max="514" width="7.6640625" style="2" customWidth="1"/>
    <col min="515" max="515" width="14.33203125" style="2" customWidth="1"/>
    <col min="516" max="516" width="4" style="2" customWidth="1"/>
    <col min="517" max="517" width="14.33203125" style="2" customWidth="1"/>
    <col min="518" max="518" width="4" style="2" customWidth="1"/>
    <col min="519" max="770" width="7.6640625" style="2" customWidth="1"/>
    <col min="771" max="771" width="14.33203125" style="2" customWidth="1"/>
    <col min="772" max="772" width="4" style="2" customWidth="1"/>
    <col min="773" max="773" width="14.33203125" style="2" customWidth="1"/>
    <col min="774" max="774" width="4" style="2" customWidth="1"/>
    <col min="775" max="1026" width="7.6640625" style="2" customWidth="1"/>
    <col min="1027" max="1027" width="14.33203125" style="2" customWidth="1"/>
    <col min="1028" max="1028" width="4" style="2" customWidth="1"/>
    <col min="1029" max="1029" width="14.33203125" style="2" customWidth="1"/>
    <col min="1030" max="1030" width="4" style="2" customWidth="1"/>
    <col min="1031" max="1282" width="7.6640625" style="2" customWidth="1"/>
    <col min="1283" max="1283" width="14.33203125" style="2" customWidth="1"/>
    <col min="1284" max="1284" width="4" style="2" customWidth="1"/>
    <col min="1285" max="1285" width="14.33203125" style="2" customWidth="1"/>
    <col min="1286" max="1286" width="4" style="2" customWidth="1"/>
    <col min="1287" max="1538" width="7.6640625" style="2" customWidth="1"/>
    <col min="1539" max="1539" width="14.33203125" style="2" customWidth="1"/>
    <col min="1540" max="1540" width="4" style="2" customWidth="1"/>
    <col min="1541" max="1541" width="14.33203125" style="2" customWidth="1"/>
    <col min="1542" max="1542" width="4" style="2" customWidth="1"/>
    <col min="1543" max="1794" width="7.6640625" style="2" customWidth="1"/>
    <col min="1795" max="1795" width="14.33203125" style="2" customWidth="1"/>
    <col min="1796" max="1796" width="4" style="2" customWidth="1"/>
    <col min="1797" max="1797" width="14.33203125" style="2" customWidth="1"/>
    <col min="1798" max="1798" width="4" style="2" customWidth="1"/>
    <col min="1799" max="2050" width="7.6640625" style="2" customWidth="1"/>
    <col min="2051" max="2051" width="14.33203125" style="2" customWidth="1"/>
    <col min="2052" max="2052" width="4" style="2" customWidth="1"/>
    <col min="2053" max="2053" width="14.33203125" style="2" customWidth="1"/>
    <col min="2054" max="2054" width="4" style="2" customWidth="1"/>
    <col min="2055" max="2306" width="7.6640625" style="2" customWidth="1"/>
    <col min="2307" max="2307" width="14.33203125" style="2" customWidth="1"/>
    <col min="2308" max="2308" width="4" style="2" customWidth="1"/>
    <col min="2309" max="2309" width="14.33203125" style="2" customWidth="1"/>
    <col min="2310" max="2310" width="4" style="2" customWidth="1"/>
    <col min="2311" max="2562" width="7.6640625" style="2" customWidth="1"/>
    <col min="2563" max="2563" width="14.33203125" style="2" customWidth="1"/>
    <col min="2564" max="2564" width="4" style="2" customWidth="1"/>
    <col min="2565" max="2565" width="14.33203125" style="2" customWidth="1"/>
    <col min="2566" max="2566" width="4" style="2" customWidth="1"/>
    <col min="2567" max="2818" width="7.6640625" style="2" customWidth="1"/>
    <col min="2819" max="2819" width="14.33203125" style="2" customWidth="1"/>
    <col min="2820" max="2820" width="4" style="2" customWidth="1"/>
    <col min="2821" max="2821" width="14.33203125" style="2" customWidth="1"/>
    <col min="2822" max="2822" width="4" style="2" customWidth="1"/>
    <col min="2823" max="3074" width="7.6640625" style="2" customWidth="1"/>
    <col min="3075" max="3075" width="14.33203125" style="2" customWidth="1"/>
    <col min="3076" max="3076" width="4" style="2" customWidth="1"/>
    <col min="3077" max="3077" width="14.33203125" style="2" customWidth="1"/>
    <col min="3078" max="3078" width="4" style="2" customWidth="1"/>
    <col min="3079" max="3330" width="7.6640625" style="2" customWidth="1"/>
    <col min="3331" max="3331" width="14.33203125" style="2" customWidth="1"/>
    <col min="3332" max="3332" width="4" style="2" customWidth="1"/>
    <col min="3333" max="3333" width="14.33203125" style="2" customWidth="1"/>
    <col min="3334" max="3334" width="4" style="2" customWidth="1"/>
    <col min="3335" max="3586" width="7.6640625" style="2" customWidth="1"/>
    <col min="3587" max="3587" width="14.33203125" style="2" customWidth="1"/>
    <col min="3588" max="3588" width="4" style="2" customWidth="1"/>
    <col min="3589" max="3589" width="14.33203125" style="2" customWidth="1"/>
    <col min="3590" max="3590" width="4" style="2" customWidth="1"/>
    <col min="3591" max="3842" width="7.6640625" style="2" customWidth="1"/>
    <col min="3843" max="3843" width="14.33203125" style="2" customWidth="1"/>
    <col min="3844" max="3844" width="4" style="2" customWidth="1"/>
    <col min="3845" max="3845" width="14.33203125" style="2" customWidth="1"/>
    <col min="3846" max="3846" width="4" style="2" customWidth="1"/>
    <col min="3847" max="4098" width="7.6640625" style="2" customWidth="1"/>
    <col min="4099" max="4099" width="14.33203125" style="2" customWidth="1"/>
    <col min="4100" max="4100" width="4" style="2" customWidth="1"/>
    <col min="4101" max="4101" width="14.33203125" style="2" customWidth="1"/>
    <col min="4102" max="4102" width="4" style="2" customWidth="1"/>
    <col min="4103" max="4354" width="7.6640625" style="2" customWidth="1"/>
    <col min="4355" max="4355" width="14.33203125" style="2" customWidth="1"/>
    <col min="4356" max="4356" width="4" style="2" customWidth="1"/>
    <col min="4357" max="4357" width="14.33203125" style="2" customWidth="1"/>
    <col min="4358" max="4358" width="4" style="2" customWidth="1"/>
    <col min="4359" max="4610" width="7.6640625" style="2" customWidth="1"/>
    <col min="4611" max="4611" width="14.33203125" style="2" customWidth="1"/>
    <col min="4612" max="4612" width="4" style="2" customWidth="1"/>
    <col min="4613" max="4613" width="14.33203125" style="2" customWidth="1"/>
    <col min="4614" max="4614" width="4" style="2" customWidth="1"/>
    <col min="4615" max="4866" width="7.6640625" style="2" customWidth="1"/>
    <col min="4867" max="4867" width="14.33203125" style="2" customWidth="1"/>
    <col min="4868" max="4868" width="4" style="2" customWidth="1"/>
    <col min="4869" max="4869" width="14.33203125" style="2" customWidth="1"/>
    <col min="4870" max="4870" width="4" style="2" customWidth="1"/>
    <col min="4871" max="5122" width="7.6640625" style="2" customWidth="1"/>
    <col min="5123" max="5123" width="14.33203125" style="2" customWidth="1"/>
    <col min="5124" max="5124" width="4" style="2" customWidth="1"/>
    <col min="5125" max="5125" width="14.33203125" style="2" customWidth="1"/>
    <col min="5126" max="5126" width="4" style="2" customWidth="1"/>
    <col min="5127" max="5378" width="7.6640625" style="2" customWidth="1"/>
    <col min="5379" max="5379" width="14.33203125" style="2" customWidth="1"/>
    <col min="5380" max="5380" width="4" style="2" customWidth="1"/>
    <col min="5381" max="5381" width="14.33203125" style="2" customWidth="1"/>
    <col min="5382" max="5382" width="4" style="2" customWidth="1"/>
    <col min="5383" max="5634" width="7.6640625" style="2" customWidth="1"/>
    <col min="5635" max="5635" width="14.33203125" style="2" customWidth="1"/>
    <col min="5636" max="5636" width="4" style="2" customWidth="1"/>
    <col min="5637" max="5637" width="14.33203125" style="2" customWidth="1"/>
    <col min="5638" max="5638" width="4" style="2" customWidth="1"/>
    <col min="5639" max="5890" width="7.6640625" style="2" customWidth="1"/>
    <col min="5891" max="5891" width="14.33203125" style="2" customWidth="1"/>
    <col min="5892" max="5892" width="4" style="2" customWidth="1"/>
    <col min="5893" max="5893" width="14.33203125" style="2" customWidth="1"/>
    <col min="5894" max="5894" width="4" style="2" customWidth="1"/>
    <col min="5895" max="6146" width="7.6640625" style="2" customWidth="1"/>
    <col min="6147" max="6147" width="14.33203125" style="2" customWidth="1"/>
    <col min="6148" max="6148" width="4" style="2" customWidth="1"/>
    <col min="6149" max="6149" width="14.33203125" style="2" customWidth="1"/>
    <col min="6150" max="6150" width="4" style="2" customWidth="1"/>
    <col min="6151" max="6402" width="7.6640625" style="2" customWidth="1"/>
    <col min="6403" max="6403" width="14.33203125" style="2" customWidth="1"/>
    <col min="6404" max="6404" width="4" style="2" customWidth="1"/>
    <col min="6405" max="6405" width="14.33203125" style="2" customWidth="1"/>
    <col min="6406" max="6406" width="4" style="2" customWidth="1"/>
    <col min="6407" max="6658" width="7.6640625" style="2" customWidth="1"/>
    <col min="6659" max="6659" width="14.33203125" style="2" customWidth="1"/>
    <col min="6660" max="6660" width="4" style="2" customWidth="1"/>
    <col min="6661" max="6661" width="14.33203125" style="2" customWidth="1"/>
    <col min="6662" max="6662" width="4" style="2" customWidth="1"/>
    <col min="6663" max="6914" width="7.6640625" style="2" customWidth="1"/>
    <col min="6915" max="6915" width="14.33203125" style="2" customWidth="1"/>
    <col min="6916" max="6916" width="4" style="2" customWidth="1"/>
    <col min="6917" max="6917" width="14.33203125" style="2" customWidth="1"/>
    <col min="6918" max="6918" width="4" style="2" customWidth="1"/>
    <col min="6919" max="7170" width="7.6640625" style="2" customWidth="1"/>
    <col min="7171" max="7171" width="14.33203125" style="2" customWidth="1"/>
    <col min="7172" max="7172" width="4" style="2" customWidth="1"/>
    <col min="7173" max="7173" width="14.33203125" style="2" customWidth="1"/>
    <col min="7174" max="7174" width="4" style="2" customWidth="1"/>
    <col min="7175" max="7426" width="7.6640625" style="2" customWidth="1"/>
    <col min="7427" max="7427" width="14.33203125" style="2" customWidth="1"/>
    <col min="7428" max="7428" width="4" style="2" customWidth="1"/>
    <col min="7429" max="7429" width="14.33203125" style="2" customWidth="1"/>
    <col min="7430" max="7430" width="4" style="2" customWidth="1"/>
    <col min="7431" max="7682" width="7.6640625" style="2" customWidth="1"/>
    <col min="7683" max="7683" width="14.33203125" style="2" customWidth="1"/>
    <col min="7684" max="7684" width="4" style="2" customWidth="1"/>
    <col min="7685" max="7685" width="14.33203125" style="2" customWidth="1"/>
    <col min="7686" max="7686" width="4" style="2" customWidth="1"/>
    <col min="7687" max="7938" width="7.6640625" style="2" customWidth="1"/>
    <col min="7939" max="7939" width="14.33203125" style="2" customWidth="1"/>
    <col min="7940" max="7940" width="4" style="2" customWidth="1"/>
    <col min="7941" max="7941" width="14.33203125" style="2" customWidth="1"/>
    <col min="7942" max="7942" width="4" style="2" customWidth="1"/>
    <col min="7943" max="8194" width="7.6640625" style="2" customWidth="1"/>
    <col min="8195" max="8195" width="14.33203125" style="2" customWidth="1"/>
    <col min="8196" max="8196" width="4" style="2" customWidth="1"/>
    <col min="8197" max="8197" width="14.33203125" style="2" customWidth="1"/>
    <col min="8198" max="8198" width="4" style="2" customWidth="1"/>
    <col min="8199" max="8450" width="7.6640625" style="2" customWidth="1"/>
    <col min="8451" max="8451" width="14.33203125" style="2" customWidth="1"/>
    <col min="8452" max="8452" width="4" style="2" customWidth="1"/>
    <col min="8453" max="8453" width="14.33203125" style="2" customWidth="1"/>
    <col min="8454" max="8454" width="4" style="2" customWidth="1"/>
    <col min="8455" max="8706" width="7.6640625" style="2" customWidth="1"/>
    <col min="8707" max="8707" width="14.33203125" style="2" customWidth="1"/>
    <col min="8708" max="8708" width="4" style="2" customWidth="1"/>
    <col min="8709" max="8709" width="14.33203125" style="2" customWidth="1"/>
    <col min="8710" max="8710" width="4" style="2" customWidth="1"/>
    <col min="8711" max="8962" width="7.6640625" style="2" customWidth="1"/>
    <col min="8963" max="8963" width="14.33203125" style="2" customWidth="1"/>
    <col min="8964" max="8964" width="4" style="2" customWidth="1"/>
    <col min="8965" max="8965" width="14.33203125" style="2" customWidth="1"/>
    <col min="8966" max="8966" width="4" style="2" customWidth="1"/>
    <col min="8967" max="9218" width="7.6640625" style="2" customWidth="1"/>
    <col min="9219" max="9219" width="14.33203125" style="2" customWidth="1"/>
    <col min="9220" max="9220" width="4" style="2" customWidth="1"/>
    <col min="9221" max="9221" width="14.33203125" style="2" customWidth="1"/>
    <col min="9222" max="9222" width="4" style="2" customWidth="1"/>
    <col min="9223" max="9474" width="7.6640625" style="2" customWidth="1"/>
    <col min="9475" max="9475" width="14.33203125" style="2" customWidth="1"/>
    <col min="9476" max="9476" width="4" style="2" customWidth="1"/>
    <col min="9477" max="9477" width="14.33203125" style="2" customWidth="1"/>
    <col min="9478" max="9478" width="4" style="2" customWidth="1"/>
    <col min="9479" max="9730" width="7.6640625" style="2" customWidth="1"/>
    <col min="9731" max="9731" width="14.33203125" style="2" customWidth="1"/>
    <col min="9732" max="9732" width="4" style="2" customWidth="1"/>
    <col min="9733" max="9733" width="14.33203125" style="2" customWidth="1"/>
    <col min="9734" max="9734" width="4" style="2" customWidth="1"/>
    <col min="9735" max="9986" width="7.6640625" style="2" customWidth="1"/>
    <col min="9987" max="9987" width="14.33203125" style="2" customWidth="1"/>
    <col min="9988" max="9988" width="4" style="2" customWidth="1"/>
    <col min="9989" max="9989" width="14.33203125" style="2" customWidth="1"/>
    <col min="9990" max="9990" width="4" style="2" customWidth="1"/>
    <col min="9991" max="10242" width="7.6640625" style="2" customWidth="1"/>
    <col min="10243" max="10243" width="14.33203125" style="2" customWidth="1"/>
    <col min="10244" max="10244" width="4" style="2" customWidth="1"/>
    <col min="10245" max="10245" width="14.33203125" style="2" customWidth="1"/>
    <col min="10246" max="10246" width="4" style="2" customWidth="1"/>
    <col min="10247" max="10498" width="7.6640625" style="2" customWidth="1"/>
    <col min="10499" max="10499" width="14.33203125" style="2" customWidth="1"/>
    <col min="10500" max="10500" width="4" style="2" customWidth="1"/>
    <col min="10501" max="10501" width="14.33203125" style="2" customWidth="1"/>
    <col min="10502" max="10502" width="4" style="2" customWidth="1"/>
    <col min="10503" max="10754" width="7.6640625" style="2" customWidth="1"/>
    <col min="10755" max="10755" width="14.33203125" style="2" customWidth="1"/>
    <col min="10756" max="10756" width="4" style="2" customWidth="1"/>
    <col min="10757" max="10757" width="14.33203125" style="2" customWidth="1"/>
    <col min="10758" max="10758" width="4" style="2" customWidth="1"/>
    <col min="10759" max="11010" width="7.6640625" style="2" customWidth="1"/>
    <col min="11011" max="11011" width="14.33203125" style="2" customWidth="1"/>
    <col min="11012" max="11012" width="4" style="2" customWidth="1"/>
    <col min="11013" max="11013" width="14.33203125" style="2" customWidth="1"/>
    <col min="11014" max="11014" width="4" style="2" customWidth="1"/>
    <col min="11015" max="11266" width="7.6640625" style="2" customWidth="1"/>
    <col min="11267" max="11267" width="14.33203125" style="2" customWidth="1"/>
    <col min="11268" max="11268" width="4" style="2" customWidth="1"/>
    <col min="11269" max="11269" width="14.33203125" style="2" customWidth="1"/>
    <col min="11270" max="11270" width="4" style="2" customWidth="1"/>
    <col min="11271" max="11522" width="7.6640625" style="2" customWidth="1"/>
    <col min="11523" max="11523" width="14.33203125" style="2" customWidth="1"/>
    <col min="11524" max="11524" width="4" style="2" customWidth="1"/>
    <col min="11525" max="11525" width="14.33203125" style="2" customWidth="1"/>
    <col min="11526" max="11526" width="4" style="2" customWidth="1"/>
    <col min="11527" max="11778" width="7.6640625" style="2" customWidth="1"/>
    <col min="11779" max="11779" width="14.33203125" style="2" customWidth="1"/>
    <col min="11780" max="11780" width="4" style="2" customWidth="1"/>
    <col min="11781" max="11781" width="14.33203125" style="2" customWidth="1"/>
    <col min="11782" max="11782" width="4" style="2" customWidth="1"/>
    <col min="11783" max="12034" width="7.6640625" style="2" customWidth="1"/>
    <col min="12035" max="12035" width="14.33203125" style="2" customWidth="1"/>
    <col min="12036" max="12036" width="4" style="2" customWidth="1"/>
    <col min="12037" max="12037" width="14.33203125" style="2" customWidth="1"/>
    <col min="12038" max="12038" width="4" style="2" customWidth="1"/>
    <col min="12039" max="12290" width="7.6640625" style="2" customWidth="1"/>
    <col min="12291" max="12291" width="14.33203125" style="2" customWidth="1"/>
    <col min="12292" max="12292" width="4" style="2" customWidth="1"/>
    <col min="12293" max="12293" width="14.33203125" style="2" customWidth="1"/>
    <col min="12294" max="12294" width="4" style="2" customWidth="1"/>
    <col min="12295" max="12546" width="7.6640625" style="2" customWidth="1"/>
    <col min="12547" max="12547" width="14.33203125" style="2" customWidth="1"/>
    <col min="12548" max="12548" width="4" style="2" customWidth="1"/>
    <col min="12549" max="12549" width="14.33203125" style="2" customWidth="1"/>
    <col min="12550" max="12550" width="4" style="2" customWidth="1"/>
    <col min="12551" max="12802" width="7.6640625" style="2" customWidth="1"/>
    <col min="12803" max="12803" width="14.33203125" style="2" customWidth="1"/>
    <col min="12804" max="12804" width="4" style="2" customWidth="1"/>
    <col min="12805" max="12805" width="14.33203125" style="2" customWidth="1"/>
    <col min="12806" max="12806" width="4" style="2" customWidth="1"/>
    <col min="12807" max="13058" width="7.6640625" style="2" customWidth="1"/>
    <col min="13059" max="13059" width="14.33203125" style="2" customWidth="1"/>
    <col min="13060" max="13060" width="4" style="2" customWidth="1"/>
    <col min="13061" max="13061" width="14.33203125" style="2" customWidth="1"/>
    <col min="13062" max="13062" width="4" style="2" customWidth="1"/>
    <col min="13063" max="13314" width="7.6640625" style="2" customWidth="1"/>
    <col min="13315" max="13315" width="14.33203125" style="2" customWidth="1"/>
    <col min="13316" max="13316" width="4" style="2" customWidth="1"/>
    <col min="13317" max="13317" width="14.33203125" style="2" customWidth="1"/>
    <col min="13318" max="13318" width="4" style="2" customWidth="1"/>
    <col min="13319" max="13570" width="7.6640625" style="2" customWidth="1"/>
    <col min="13571" max="13571" width="14.33203125" style="2" customWidth="1"/>
    <col min="13572" max="13572" width="4" style="2" customWidth="1"/>
    <col min="13573" max="13573" width="14.33203125" style="2" customWidth="1"/>
    <col min="13574" max="13574" width="4" style="2" customWidth="1"/>
    <col min="13575" max="13826" width="7.6640625" style="2" customWidth="1"/>
    <col min="13827" max="13827" width="14.33203125" style="2" customWidth="1"/>
    <col min="13828" max="13828" width="4" style="2" customWidth="1"/>
    <col min="13829" max="13829" width="14.33203125" style="2" customWidth="1"/>
    <col min="13830" max="13830" width="4" style="2" customWidth="1"/>
    <col min="13831" max="14082" width="7.6640625" style="2" customWidth="1"/>
    <col min="14083" max="14083" width="14.33203125" style="2" customWidth="1"/>
    <col min="14084" max="14084" width="4" style="2" customWidth="1"/>
    <col min="14085" max="14085" width="14.33203125" style="2" customWidth="1"/>
    <col min="14086" max="14086" width="4" style="2" customWidth="1"/>
    <col min="14087" max="14338" width="7.6640625" style="2" customWidth="1"/>
    <col min="14339" max="14339" width="14.33203125" style="2" customWidth="1"/>
    <col min="14340" max="14340" width="4" style="2" customWidth="1"/>
    <col min="14341" max="14341" width="14.33203125" style="2" customWidth="1"/>
    <col min="14342" max="14342" width="4" style="2" customWidth="1"/>
    <col min="14343" max="14594" width="7.6640625" style="2" customWidth="1"/>
    <col min="14595" max="14595" width="14.33203125" style="2" customWidth="1"/>
    <col min="14596" max="14596" width="4" style="2" customWidth="1"/>
    <col min="14597" max="14597" width="14.33203125" style="2" customWidth="1"/>
    <col min="14598" max="14598" width="4" style="2" customWidth="1"/>
    <col min="14599" max="14850" width="7.6640625" style="2" customWidth="1"/>
    <col min="14851" max="14851" width="14.33203125" style="2" customWidth="1"/>
    <col min="14852" max="14852" width="4" style="2" customWidth="1"/>
    <col min="14853" max="14853" width="14.33203125" style="2" customWidth="1"/>
    <col min="14854" max="14854" width="4" style="2" customWidth="1"/>
    <col min="14855" max="15106" width="7.6640625" style="2" customWidth="1"/>
    <col min="15107" max="15107" width="14.33203125" style="2" customWidth="1"/>
    <col min="15108" max="15108" width="4" style="2" customWidth="1"/>
    <col min="15109" max="15109" width="14.33203125" style="2" customWidth="1"/>
    <col min="15110" max="15110" width="4" style="2" customWidth="1"/>
    <col min="15111" max="15362" width="7.6640625" style="2" customWidth="1"/>
    <col min="15363" max="15363" width="14.33203125" style="2" customWidth="1"/>
    <col min="15364" max="15364" width="4" style="2" customWidth="1"/>
    <col min="15365" max="15365" width="14.33203125" style="2" customWidth="1"/>
    <col min="15366" max="15366" width="4" style="2" customWidth="1"/>
    <col min="15367" max="15618" width="7.6640625" style="2" customWidth="1"/>
    <col min="15619" max="15619" width="14.33203125" style="2" customWidth="1"/>
    <col min="15620" max="15620" width="4" style="2" customWidth="1"/>
    <col min="15621" max="15621" width="14.33203125" style="2" customWidth="1"/>
    <col min="15622" max="15622" width="4" style="2" customWidth="1"/>
    <col min="15623" max="15874" width="7.6640625" style="2" customWidth="1"/>
    <col min="15875" max="15875" width="14.33203125" style="2" customWidth="1"/>
    <col min="15876" max="15876" width="4" style="2" customWidth="1"/>
    <col min="15877" max="15877" width="14.33203125" style="2" customWidth="1"/>
    <col min="15878" max="15878" width="4" style="2" customWidth="1"/>
    <col min="15879" max="16130" width="7.6640625" style="2" customWidth="1"/>
    <col min="16131" max="16131" width="14.33203125" style="2" customWidth="1"/>
    <col min="16132" max="16132" width="4" style="2" customWidth="1"/>
    <col min="16133" max="16133" width="14.33203125" style="2" customWidth="1"/>
    <col min="16134" max="16134" width="4" style="2" customWidth="1"/>
    <col min="16135" max="16384" width="7.6640625" style="2" customWidth="1"/>
  </cols>
  <sheetData>
    <row r="1" spans="1:12" ht="15" customHeight="1" x14ac:dyDescent="0.3">
      <c r="A1" s="85"/>
      <c r="B1" s="85"/>
      <c r="C1" s="86"/>
      <c r="D1" s="86"/>
      <c r="E1" s="86"/>
      <c r="F1" s="86"/>
      <c r="G1" s="1"/>
      <c r="H1" s="1"/>
      <c r="I1" s="1"/>
      <c r="J1" s="1"/>
      <c r="K1" s="1"/>
      <c r="L1" s="1"/>
    </row>
    <row r="2" spans="1:12" ht="15" customHeight="1" x14ac:dyDescent="0.3">
      <c r="A2" s="65"/>
      <c r="B2" s="589" t="s">
        <v>7</v>
      </c>
      <c r="C2" s="3"/>
      <c r="D2" s="9"/>
      <c r="E2" s="10"/>
      <c r="F2" s="10"/>
      <c r="G2" s="3"/>
      <c r="H2" s="3"/>
      <c r="I2" s="3"/>
      <c r="J2" s="79"/>
      <c r="K2" s="79"/>
      <c r="L2" s="79"/>
    </row>
    <row r="3" spans="1:12" ht="15" customHeight="1" x14ac:dyDescent="0.3">
      <c r="A3" s="65"/>
      <c r="B3" s="615" t="s">
        <v>321</v>
      </c>
      <c r="C3" s="3"/>
      <c r="D3" s="26"/>
      <c r="E3" s="3"/>
      <c r="F3" s="3"/>
      <c r="G3" s="3"/>
      <c r="H3" s="3"/>
      <c r="I3" s="3"/>
      <c r="J3" s="79"/>
      <c r="K3" s="79"/>
      <c r="L3" s="79"/>
    </row>
    <row r="4" spans="1:12" ht="15" customHeight="1" x14ac:dyDescent="0.3">
      <c r="A4" s="79"/>
      <c r="B4" s="594" t="str">
        <f>Overview!$B$7</f>
        <v>Grove Park Drive</v>
      </c>
      <c r="C4" s="3"/>
      <c r="D4" s="26"/>
      <c r="E4" s="3"/>
      <c r="F4" s="3"/>
      <c r="G4" s="3"/>
      <c r="H4" s="3"/>
      <c r="I4" s="3"/>
      <c r="J4" s="79"/>
      <c r="K4" s="79"/>
      <c r="L4" s="79"/>
    </row>
    <row r="5" spans="1:12" ht="15" customHeight="1" x14ac:dyDescent="0.3">
      <c r="A5" s="79"/>
      <c r="B5" s="79"/>
      <c r="C5" s="26"/>
      <c r="D5" s="26"/>
      <c r="E5" s="3"/>
      <c r="F5" s="3"/>
      <c r="G5" s="3"/>
      <c r="H5" s="3"/>
      <c r="I5" s="3"/>
      <c r="J5" s="79"/>
      <c r="K5" s="79"/>
      <c r="L5" s="79"/>
    </row>
    <row r="6" spans="1:12" ht="15" customHeight="1" x14ac:dyDescent="0.3">
      <c r="A6" s="65"/>
      <c r="B6" s="79"/>
      <c r="C6" s="26" t="s">
        <v>501</v>
      </c>
      <c r="D6" s="14"/>
      <c r="E6" s="3"/>
      <c r="F6" s="3"/>
      <c r="G6" s="3"/>
      <c r="H6" s="3"/>
      <c r="I6" s="3"/>
      <c r="J6" s="79"/>
      <c r="K6" s="79"/>
      <c r="L6" s="79"/>
    </row>
    <row r="7" spans="1:12" ht="15" customHeight="1" thickBot="1" x14ac:dyDescent="0.35">
      <c r="A7" s="65"/>
      <c r="B7" s="79"/>
      <c r="C7" s="1044"/>
      <c r="D7" s="1044"/>
      <c r="E7" s="1044"/>
      <c r="F7" s="1044"/>
      <c r="G7" s="1044"/>
      <c r="H7" s="1044"/>
      <c r="I7" s="1044"/>
      <c r="J7" s="79"/>
      <c r="K7" s="79"/>
      <c r="L7" s="79"/>
    </row>
    <row r="8" spans="1:12" ht="15" customHeight="1" x14ac:dyDescent="0.3">
      <c r="A8" s="65"/>
      <c r="B8" s="79"/>
      <c r="C8" s="1045" t="s">
        <v>51</v>
      </c>
      <c r="D8" s="1047" t="s">
        <v>54</v>
      </c>
      <c r="E8" s="1042" t="s">
        <v>52</v>
      </c>
      <c r="F8" s="1056" t="s">
        <v>353</v>
      </c>
      <c r="G8" s="1058" t="s">
        <v>354</v>
      </c>
      <c r="H8" s="1054" t="s">
        <v>165</v>
      </c>
      <c r="I8" s="1060" t="s">
        <v>355</v>
      </c>
      <c r="J8" s="1054" t="s">
        <v>168</v>
      </c>
      <c r="K8" s="559"/>
      <c r="L8" s="561"/>
    </row>
    <row r="9" spans="1:12" ht="32.25" customHeight="1" thickBot="1" x14ac:dyDescent="0.35">
      <c r="A9" s="65"/>
      <c r="B9" s="79"/>
      <c r="C9" s="1046"/>
      <c r="D9" s="1048"/>
      <c r="E9" s="1043"/>
      <c r="F9" s="1057"/>
      <c r="G9" s="1059"/>
      <c r="H9" s="1055"/>
      <c r="I9" s="1061"/>
      <c r="J9" s="1055"/>
      <c r="K9" s="559"/>
      <c r="L9" s="561"/>
    </row>
    <row r="10" spans="1:12" ht="13.2" x14ac:dyDescent="0.3">
      <c r="A10" s="65"/>
      <c r="B10" s="79"/>
      <c r="C10" s="172" t="s">
        <v>167</v>
      </c>
      <c r="D10" s="38" t="s">
        <v>55</v>
      </c>
      <c r="E10" s="611">
        <f>(('Scheme Entry - Baseline'!W46*1000)/'Scheme Entry - Baseline'!W9)*Overview!E29</f>
        <v>1607.1428571428571</v>
      </c>
      <c r="F10" s="166">
        <v>1700</v>
      </c>
      <c r="G10" s="87">
        <v>2650</v>
      </c>
      <c r="H10" s="87">
        <f>AVERAGE(F10,G10)</f>
        <v>2175</v>
      </c>
      <c r="I10" s="538">
        <v>0</v>
      </c>
      <c r="J10" s="489">
        <f>IF((I10&gt;0),(E10*I10),(E10*H10))</f>
        <v>3495535.7142857141</v>
      </c>
      <c r="K10" s="174"/>
      <c r="L10" s="179"/>
    </row>
    <row r="11" spans="1:12" ht="13.2" x14ac:dyDescent="0.3">
      <c r="A11" s="79"/>
      <c r="B11" s="79"/>
      <c r="C11" s="172" t="s">
        <v>356</v>
      </c>
      <c r="D11" s="38" t="s">
        <v>55</v>
      </c>
      <c r="E11" s="611">
        <v>0</v>
      </c>
      <c r="F11" s="166">
        <v>2500</v>
      </c>
      <c r="G11" s="87">
        <v>3500</v>
      </c>
      <c r="H11" s="87">
        <f t="shared" ref="H11:H21" si="0">AVERAGE(F11,G11)</f>
        <v>3000</v>
      </c>
      <c r="I11" s="538">
        <v>0</v>
      </c>
      <c r="J11" s="165">
        <f t="shared" ref="J11:J21" si="1">IF((I11&gt;0),(E11*I11),(E11*H11))</f>
        <v>0</v>
      </c>
      <c r="K11" s="616"/>
      <c r="L11" s="179"/>
    </row>
    <row r="12" spans="1:12" ht="15" customHeight="1" x14ac:dyDescent="0.3">
      <c r="A12" s="65"/>
      <c r="B12" s="79"/>
      <c r="C12" s="172" t="s">
        <v>56</v>
      </c>
      <c r="D12" s="38" t="s">
        <v>55</v>
      </c>
      <c r="E12" s="611">
        <f>E14</f>
        <v>45</v>
      </c>
      <c r="F12" s="166">
        <v>1500</v>
      </c>
      <c r="G12" s="87">
        <v>2500</v>
      </c>
      <c r="H12" s="87">
        <f t="shared" si="0"/>
        <v>2000</v>
      </c>
      <c r="I12" s="538">
        <v>0</v>
      </c>
      <c r="J12" s="165">
        <f t="shared" si="1"/>
        <v>90000</v>
      </c>
      <c r="K12" s="174"/>
      <c r="L12" s="179"/>
    </row>
    <row r="13" spans="1:12" ht="15" customHeight="1" x14ac:dyDescent="0.3">
      <c r="A13" s="65"/>
      <c r="B13" s="79"/>
      <c r="C13" s="172" t="s">
        <v>358</v>
      </c>
      <c r="D13" s="38" t="s">
        <v>63</v>
      </c>
      <c r="E13" s="611">
        <f>('Scheme Entry - Baseline'!W46*1000)*Overview!E29</f>
        <v>90000</v>
      </c>
      <c r="F13" s="166">
        <v>10</v>
      </c>
      <c r="G13" s="87">
        <v>18</v>
      </c>
      <c r="H13" s="87">
        <f t="shared" si="0"/>
        <v>14</v>
      </c>
      <c r="I13" s="538">
        <v>0</v>
      </c>
      <c r="J13" s="165">
        <f t="shared" si="1"/>
        <v>1260000</v>
      </c>
      <c r="K13" s="174"/>
      <c r="L13" s="179"/>
    </row>
    <row r="14" spans="1:12" ht="15" customHeight="1" x14ac:dyDescent="0.3">
      <c r="A14" s="65"/>
      <c r="B14" s="79"/>
      <c r="C14" s="172" t="s">
        <v>57</v>
      </c>
      <c r="D14" s="38" t="s">
        <v>55</v>
      </c>
      <c r="E14" s="611">
        <f>('Scheme Entry - Baseline'!W46*1000)/'Scheme Entry - Baseline'!W13</f>
        <v>45</v>
      </c>
      <c r="F14" s="166">
        <v>550</v>
      </c>
      <c r="G14" s="87">
        <v>1850</v>
      </c>
      <c r="H14" s="87">
        <f>AVERAGE(F14,G14)</f>
        <v>1200</v>
      </c>
      <c r="I14" s="538">
        <v>0</v>
      </c>
      <c r="J14" s="165">
        <f t="shared" si="1"/>
        <v>54000</v>
      </c>
      <c r="K14" s="174"/>
      <c r="L14" s="179"/>
    </row>
    <row r="15" spans="1:12" ht="15" customHeight="1" x14ac:dyDescent="0.3">
      <c r="A15" s="65"/>
      <c r="B15" s="79"/>
      <c r="C15" s="172" t="s">
        <v>58</v>
      </c>
      <c r="D15" s="38" t="s">
        <v>55</v>
      </c>
      <c r="E15" s="611">
        <f>E10</f>
        <v>1607.1428571428571</v>
      </c>
      <c r="F15" s="166">
        <v>25</v>
      </c>
      <c r="G15" s="87">
        <v>53</v>
      </c>
      <c r="H15" s="87">
        <f t="shared" si="0"/>
        <v>39</v>
      </c>
      <c r="I15" s="538">
        <v>0</v>
      </c>
      <c r="J15" s="165">
        <f t="shared" si="1"/>
        <v>62678.571428571428</v>
      </c>
      <c r="K15" s="174"/>
      <c r="L15" s="179"/>
    </row>
    <row r="16" spans="1:12" ht="15" customHeight="1" x14ac:dyDescent="0.3">
      <c r="A16" s="65"/>
      <c r="B16" s="79"/>
      <c r="C16" s="172" t="s">
        <v>59</v>
      </c>
      <c r="D16" s="38" t="s">
        <v>55</v>
      </c>
      <c r="E16" s="611">
        <f>E14*5</f>
        <v>225</v>
      </c>
      <c r="F16" s="166">
        <v>45</v>
      </c>
      <c r="G16" s="87">
        <v>65</v>
      </c>
      <c r="H16" s="87">
        <f t="shared" si="0"/>
        <v>55</v>
      </c>
      <c r="I16" s="538">
        <v>0</v>
      </c>
      <c r="J16" s="165">
        <f t="shared" si="1"/>
        <v>12375</v>
      </c>
      <c r="K16" s="174"/>
      <c r="L16" s="179"/>
    </row>
    <row r="17" spans="1:12" ht="26.4" x14ac:dyDescent="0.3">
      <c r="A17" s="65"/>
      <c r="B17" s="79"/>
      <c r="C17" s="172" t="s">
        <v>64</v>
      </c>
      <c r="D17" s="38" t="s">
        <v>55</v>
      </c>
      <c r="E17" s="611">
        <f>E14*2</f>
        <v>90</v>
      </c>
      <c r="F17" s="166">
        <v>750</v>
      </c>
      <c r="G17" s="87">
        <v>750</v>
      </c>
      <c r="H17" s="87">
        <f t="shared" si="0"/>
        <v>750</v>
      </c>
      <c r="I17" s="538">
        <v>0</v>
      </c>
      <c r="J17" s="165">
        <f t="shared" si="1"/>
        <v>67500</v>
      </c>
      <c r="K17" s="174"/>
      <c r="L17" s="179"/>
    </row>
    <row r="18" spans="1:12" ht="15" customHeight="1" x14ac:dyDescent="0.3">
      <c r="A18" s="65"/>
      <c r="B18" s="79"/>
      <c r="C18" s="172" t="s">
        <v>65</v>
      </c>
      <c r="D18" s="38" t="s">
        <v>55</v>
      </c>
      <c r="E18" s="611">
        <f>Overview!H29*4*2</f>
        <v>40</v>
      </c>
      <c r="F18" s="166">
        <v>750</v>
      </c>
      <c r="G18" s="87">
        <v>750</v>
      </c>
      <c r="H18" s="87">
        <f t="shared" si="0"/>
        <v>750</v>
      </c>
      <c r="I18" s="538">
        <v>0</v>
      </c>
      <c r="J18" s="165">
        <f t="shared" si="1"/>
        <v>30000</v>
      </c>
      <c r="K18" s="174"/>
      <c r="L18" s="179"/>
    </row>
    <row r="19" spans="1:12" ht="15" customHeight="1" x14ac:dyDescent="0.3">
      <c r="A19" s="65"/>
      <c r="B19" s="79"/>
      <c r="C19" s="172" t="s">
        <v>357</v>
      </c>
      <c r="D19" s="38" t="s">
        <v>63</v>
      </c>
      <c r="E19" s="611">
        <f>E13*Overview!E29</f>
        <v>180000</v>
      </c>
      <c r="F19" s="166">
        <v>5.8</v>
      </c>
      <c r="G19" s="87">
        <v>13</v>
      </c>
      <c r="H19" s="87">
        <f t="shared" si="0"/>
        <v>9.4</v>
      </c>
      <c r="I19" s="538">
        <v>0</v>
      </c>
      <c r="J19" s="165">
        <f t="shared" si="1"/>
        <v>1692000</v>
      </c>
      <c r="K19" s="174"/>
      <c r="L19" s="179"/>
    </row>
    <row r="20" spans="1:12" ht="15" customHeight="1" x14ac:dyDescent="0.3">
      <c r="A20" s="65"/>
      <c r="B20" s="79"/>
      <c r="C20" s="172" t="s">
        <v>499</v>
      </c>
      <c r="D20" s="38" t="s">
        <v>55</v>
      </c>
      <c r="E20" s="611">
        <f>E14</f>
        <v>45</v>
      </c>
      <c r="F20" s="166">
        <v>500</v>
      </c>
      <c r="G20" s="87">
        <v>3000</v>
      </c>
      <c r="H20" s="87">
        <f t="shared" si="0"/>
        <v>1750</v>
      </c>
      <c r="I20" s="538">
        <v>0</v>
      </c>
      <c r="J20" s="165">
        <f t="shared" si="1"/>
        <v>78750</v>
      </c>
      <c r="K20" s="174"/>
      <c r="L20" s="179"/>
    </row>
    <row r="21" spans="1:12" ht="15" customHeight="1" x14ac:dyDescent="0.3">
      <c r="A21" s="65"/>
      <c r="B21" s="79"/>
      <c r="C21" s="172" t="s">
        <v>60</v>
      </c>
      <c r="D21" s="38" t="s">
        <v>55</v>
      </c>
      <c r="E21" s="611">
        <f>E14</f>
        <v>45</v>
      </c>
      <c r="F21" s="166">
        <v>2500</v>
      </c>
      <c r="G21" s="87">
        <v>10000</v>
      </c>
      <c r="H21" s="87">
        <f t="shared" si="0"/>
        <v>6250</v>
      </c>
      <c r="I21" s="538">
        <v>0</v>
      </c>
      <c r="J21" s="165">
        <f t="shared" si="1"/>
        <v>281250</v>
      </c>
      <c r="K21" s="174"/>
      <c r="L21" s="179"/>
    </row>
    <row r="22" spans="1:12" ht="15" customHeight="1" thickBot="1" x14ac:dyDescent="0.35">
      <c r="A22" s="79"/>
      <c r="B22" s="79"/>
      <c r="C22" s="173" t="s">
        <v>166</v>
      </c>
      <c r="D22" s="167" t="s">
        <v>55</v>
      </c>
      <c r="E22" s="611">
        <v>0</v>
      </c>
      <c r="F22" s="168"/>
      <c r="G22" s="169"/>
      <c r="H22" s="170"/>
      <c r="I22" s="538">
        <v>0</v>
      </c>
      <c r="J22" s="612">
        <f>IF((I22&gt;0),(E22*I22),(E22*H22))</f>
        <v>0</v>
      </c>
      <c r="K22" s="174"/>
      <c r="L22" s="179"/>
    </row>
    <row r="23" spans="1:12" ht="15" customHeight="1" x14ac:dyDescent="0.3">
      <c r="A23" s="114"/>
      <c r="B23" s="114"/>
      <c r="C23" s="183"/>
      <c r="D23" s="90"/>
      <c r="E23" s="90"/>
      <c r="F23" s="90"/>
      <c r="G23" s="90"/>
      <c r="H23" s="1051" t="s">
        <v>142</v>
      </c>
      <c r="I23" s="1051"/>
      <c r="J23" s="608">
        <f>SUM(J10:J22)</f>
        <v>7124089.2857142864</v>
      </c>
      <c r="K23" s="171"/>
      <c r="L23" s="171"/>
    </row>
    <row r="24" spans="1:12" ht="15" customHeight="1" x14ac:dyDescent="0.3">
      <c r="A24" s="114"/>
      <c r="B24" s="114"/>
      <c r="C24" s="184"/>
      <c r="D24" s="41"/>
      <c r="E24" s="41"/>
      <c r="F24" s="163"/>
      <c r="G24" s="41"/>
      <c r="H24" s="1052" t="s">
        <v>350</v>
      </c>
      <c r="I24" s="1052"/>
      <c r="J24" s="179">
        <f t="shared" ref="J24" si="2">J23*9%</f>
        <v>641168.0357142858</v>
      </c>
      <c r="K24" s="179"/>
      <c r="L24" s="179"/>
    </row>
    <row r="25" spans="1:12" ht="15" customHeight="1" x14ac:dyDescent="0.3">
      <c r="A25" s="114"/>
      <c r="B25" s="114"/>
      <c r="C25" s="185"/>
      <c r="D25" s="179"/>
      <c r="E25" s="179"/>
      <c r="F25" s="175"/>
      <c r="G25" s="41"/>
      <c r="H25" s="1052" t="s">
        <v>61</v>
      </c>
      <c r="I25" s="1052"/>
      <c r="J25" s="179">
        <f t="shared" ref="J25" si="3">J23*5%</f>
        <v>356204.46428571432</v>
      </c>
      <c r="K25" s="179"/>
      <c r="L25" s="179"/>
    </row>
    <row r="26" spans="1:12" ht="15" customHeight="1" x14ac:dyDescent="0.3">
      <c r="A26" s="114"/>
      <c r="B26" s="114"/>
      <c r="C26" s="1050"/>
      <c r="D26" s="1050"/>
      <c r="E26" s="179"/>
      <c r="F26" s="175"/>
      <c r="G26" s="91"/>
      <c r="H26" s="1053" t="s">
        <v>142</v>
      </c>
      <c r="I26" s="1053"/>
      <c r="J26" s="609">
        <f t="shared" ref="J26" si="4">SUM(J24:J25)</f>
        <v>997372.50000000012</v>
      </c>
      <c r="K26" s="171"/>
      <c r="L26" s="171"/>
    </row>
    <row r="27" spans="1:12" ht="15" customHeight="1" x14ac:dyDescent="0.3">
      <c r="A27" s="65"/>
      <c r="B27" s="79"/>
      <c r="C27" s="185"/>
      <c r="D27" s="179"/>
      <c r="E27" s="179"/>
      <c r="F27" s="175"/>
      <c r="G27" s="91"/>
      <c r="H27" s="1052" t="s">
        <v>500</v>
      </c>
      <c r="I27" s="1052"/>
      <c r="J27" s="610">
        <f t="shared" ref="J27" si="5">(J18+J23)*20%</f>
        <v>1430817.8571428573</v>
      </c>
      <c r="K27" s="179"/>
      <c r="L27" s="171"/>
    </row>
    <row r="28" spans="1:12" ht="15" customHeight="1" thickBot="1" x14ac:dyDescent="0.35">
      <c r="A28" s="65"/>
      <c r="B28" s="79"/>
      <c r="C28" s="114"/>
      <c r="D28" s="75"/>
      <c r="E28" s="75"/>
      <c r="F28" s="75"/>
      <c r="G28" s="75"/>
      <c r="H28" s="1049" t="s">
        <v>62</v>
      </c>
      <c r="I28" s="1049"/>
      <c r="J28" s="88">
        <f>J23+J26+J27</f>
        <v>9552279.6428571437</v>
      </c>
      <c r="K28" s="490"/>
      <c r="L28" s="490"/>
    </row>
    <row r="29" spans="1:12" ht="15" customHeight="1" x14ac:dyDescent="0.3">
      <c r="A29" s="79"/>
      <c r="B29" s="79"/>
      <c r="C29" s="114"/>
      <c r="D29" s="75"/>
      <c r="E29" s="75"/>
      <c r="F29" s="75"/>
      <c r="G29" s="75"/>
      <c r="H29" s="871"/>
      <c r="I29" s="871"/>
      <c r="J29" s="490"/>
      <c r="K29" s="490"/>
      <c r="L29" s="490"/>
    </row>
    <row r="30" spans="1:12" ht="20.399999999999999" customHeight="1" x14ac:dyDescent="0.3">
      <c r="A30" s="45" t="s">
        <v>389</v>
      </c>
      <c r="B30" s="15"/>
      <c r="C30" s="45" t="s">
        <v>389</v>
      </c>
      <c r="D30" s="45"/>
      <c r="E30" s="15"/>
      <c r="F30" s="15"/>
      <c r="G30" s="15"/>
      <c r="H30" s="15"/>
      <c r="I30" s="15"/>
      <c r="J30" s="613"/>
      <c r="K30" s="613"/>
      <c r="L30" s="15"/>
    </row>
  </sheetData>
  <mergeCells count="16">
    <mergeCell ref="J8:J9"/>
    <mergeCell ref="F8:F9"/>
    <mergeCell ref="G8:G9"/>
    <mergeCell ref="I8:I9"/>
    <mergeCell ref="H8:H9"/>
    <mergeCell ref="E8:E9"/>
    <mergeCell ref="C7:I7"/>
    <mergeCell ref="C8:C9"/>
    <mergeCell ref="D8:D9"/>
    <mergeCell ref="H28:I28"/>
    <mergeCell ref="C26:D26"/>
    <mergeCell ref="H23:I23"/>
    <mergeCell ref="H24:I24"/>
    <mergeCell ref="H25:I25"/>
    <mergeCell ref="H26:I26"/>
    <mergeCell ref="H27:I27"/>
  </mergeCells>
  <dataValidations disablePrompts="1" count="4">
    <dataValidation allowBlank="1" showInputMessage="1" showErrorMessage="1" prompt="53.347901" sqref="IY65404 SU65404 ACQ65404 AMM65404 AWI65404 BGE65404 BQA65404 BZW65404 CJS65404 CTO65404 DDK65404 DNG65404 DXC65404 EGY65404 EQU65404 FAQ65404 FKM65404 FUI65404 GEE65404 GOA65404 GXW65404 HHS65404 HRO65404 IBK65404 ILG65404 IVC65404 JEY65404 JOU65404 JYQ65404 KIM65404 KSI65404 LCE65404 LMA65404 LVW65404 MFS65404 MPO65404 MZK65404 NJG65404 NTC65404 OCY65404 OMU65404 OWQ65404 PGM65404 PQI65404 QAE65404 QKA65404 QTW65404 RDS65404 RNO65404 RXK65404 SHG65404 SRC65404 TAY65404 TKU65404 TUQ65404 UEM65404 UOI65404 UYE65404 VIA65404 VRW65404 WBS65404 WLO65404 WVK65404 IY130940 SU130940 ACQ130940 AMM130940 AWI130940 BGE130940 BQA130940 BZW130940 CJS130940 CTO130940 DDK130940 DNG130940 DXC130940 EGY130940 EQU130940 FAQ130940 FKM130940 FUI130940 GEE130940 GOA130940 GXW130940 HHS130940 HRO130940 IBK130940 ILG130940 IVC130940 JEY130940 JOU130940 JYQ130940 KIM130940 KSI130940 LCE130940 LMA130940 LVW130940 MFS130940 MPO130940 MZK130940 NJG130940 NTC130940 OCY130940 OMU130940 OWQ130940 PGM130940 PQI130940 QAE130940 QKA130940 QTW130940 RDS130940 RNO130940 RXK130940 SHG130940 SRC130940 TAY130940 TKU130940 TUQ130940 UEM130940 UOI130940 UYE130940 VIA130940 VRW130940 WBS130940 WLO130940 WVK130940 IY196476 SU196476 ACQ196476 AMM196476 AWI196476 BGE196476 BQA196476 BZW196476 CJS196476 CTO196476 DDK196476 DNG196476 DXC196476 EGY196476 EQU196476 FAQ196476 FKM196476 FUI196476 GEE196476 GOA196476 GXW196476 HHS196476 HRO196476 IBK196476 ILG196476 IVC196476 JEY196476 JOU196476 JYQ196476 KIM196476 KSI196476 LCE196476 LMA196476 LVW196476 MFS196476 MPO196476 MZK196476 NJG196476 NTC196476 OCY196476 OMU196476 OWQ196476 PGM196476 PQI196476 QAE196476 QKA196476 QTW196476 RDS196476 RNO196476 RXK196476 SHG196476 SRC196476 TAY196476 TKU196476 TUQ196476 UEM196476 UOI196476 UYE196476 VIA196476 VRW196476 WBS196476 WLO196476 WVK196476 IY262012 SU262012 ACQ262012 AMM262012 AWI262012 BGE262012 BQA262012 BZW262012 CJS262012 CTO262012 DDK262012 DNG262012 DXC262012 EGY262012 EQU262012 FAQ262012 FKM262012 FUI262012 GEE262012 GOA262012 GXW262012 HHS262012 HRO262012 IBK262012 ILG262012 IVC262012 JEY262012 JOU262012 JYQ262012 KIM262012 KSI262012 LCE262012 LMA262012 LVW262012 MFS262012 MPO262012 MZK262012 NJG262012 NTC262012 OCY262012 OMU262012 OWQ262012 PGM262012 PQI262012 QAE262012 QKA262012 QTW262012 RDS262012 RNO262012 RXK262012 SHG262012 SRC262012 TAY262012 TKU262012 TUQ262012 UEM262012 UOI262012 UYE262012 VIA262012 VRW262012 WBS262012 WLO262012 WVK262012 IY327548 SU327548 ACQ327548 AMM327548 AWI327548 BGE327548 BQA327548 BZW327548 CJS327548 CTO327548 DDK327548 DNG327548 DXC327548 EGY327548 EQU327548 FAQ327548 FKM327548 FUI327548 GEE327548 GOA327548 GXW327548 HHS327548 HRO327548 IBK327548 ILG327548 IVC327548 JEY327548 JOU327548 JYQ327548 KIM327548 KSI327548 LCE327548 LMA327548 LVW327548 MFS327548 MPO327548 MZK327548 NJG327548 NTC327548 OCY327548 OMU327548 OWQ327548 PGM327548 PQI327548 QAE327548 QKA327548 QTW327548 RDS327548 RNO327548 RXK327548 SHG327548 SRC327548 TAY327548 TKU327548 TUQ327548 UEM327548 UOI327548 UYE327548 VIA327548 VRW327548 WBS327548 WLO327548 WVK327548 IY393084 SU393084 ACQ393084 AMM393084 AWI393084 BGE393084 BQA393084 BZW393084 CJS393084 CTO393084 DDK393084 DNG393084 DXC393084 EGY393084 EQU393084 FAQ393084 FKM393084 FUI393084 GEE393084 GOA393084 GXW393084 HHS393084 HRO393084 IBK393084 ILG393084 IVC393084 JEY393084 JOU393084 JYQ393084 KIM393084 KSI393084 LCE393084 LMA393084 LVW393084 MFS393084 MPO393084 MZK393084 NJG393084 NTC393084 OCY393084 OMU393084 OWQ393084 PGM393084 PQI393084 QAE393084 QKA393084 QTW393084 RDS393084 RNO393084 RXK393084 SHG393084 SRC393084 TAY393084 TKU393084 TUQ393084 UEM393084 UOI393084 UYE393084 VIA393084 VRW393084 WBS393084 WLO393084 WVK393084 IY458620 SU458620 ACQ458620 AMM458620 AWI458620 BGE458620 BQA458620 BZW458620 CJS458620 CTO458620 DDK458620 DNG458620 DXC458620 EGY458620 EQU458620 FAQ458620 FKM458620 FUI458620 GEE458620 GOA458620 GXW458620 HHS458620 HRO458620 IBK458620 ILG458620 IVC458620 JEY458620 JOU458620 JYQ458620 KIM458620 KSI458620 LCE458620 LMA458620 LVW458620 MFS458620 MPO458620 MZK458620 NJG458620 NTC458620 OCY458620 OMU458620 OWQ458620 PGM458620 PQI458620 QAE458620 QKA458620 QTW458620 RDS458620 RNO458620 RXK458620 SHG458620 SRC458620 TAY458620 TKU458620 TUQ458620 UEM458620 UOI458620 UYE458620 VIA458620 VRW458620 WBS458620 WLO458620 WVK458620 IY524156 SU524156 ACQ524156 AMM524156 AWI524156 BGE524156 BQA524156 BZW524156 CJS524156 CTO524156 DDK524156 DNG524156 DXC524156 EGY524156 EQU524156 FAQ524156 FKM524156 FUI524156 GEE524156 GOA524156 GXW524156 HHS524156 HRO524156 IBK524156 ILG524156 IVC524156 JEY524156 JOU524156 JYQ524156 KIM524156 KSI524156 LCE524156 LMA524156 LVW524156 MFS524156 MPO524156 MZK524156 NJG524156 NTC524156 OCY524156 OMU524156 OWQ524156 PGM524156 PQI524156 QAE524156 QKA524156 QTW524156 RDS524156 RNO524156 RXK524156 SHG524156 SRC524156 TAY524156 TKU524156 TUQ524156 UEM524156 UOI524156 UYE524156 VIA524156 VRW524156 WBS524156 WLO524156 WVK524156 IY589692 SU589692 ACQ589692 AMM589692 AWI589692 BGE589692 BQA589692 BZW589692 CJS589692 CTO589692 DDK589692 DNG589692 DXC589692 EGY589692 EQU589692 FAQ589692 FKM589692 FUI589692 GEE589692 GOA589692 GXW589692 HHS589692 HRO589692 IBK589692 ILG589692 IVC589692 JEY589692 JOU589692 JYQ589692 KIM589692 KSI589692 LCE589692 LMA589692 LVW589692 MFS589692 MPO589692 MZK589692 NJG589692 NTC589692 OCY589692 OMU589692 OWQ589692 PGM589692 PQI589692 QAE589692 QKA589692 QTW589692 RDS589692 RNO589692 RXK589692 SHG589692 SRC589692 TAY589692 TKU589692 TUQ589692 UEM589692 UOI589692 UYE589692 VIA589692 VRW589692 WBS589692 WLO589692 WVK589692 IY655228 SU655228 ACQ655228 AMM655228 AWI655228 BGE655228 BQA655228 BZW655228 CJS655228 CTO655228 DDK655228 DNG655228 DXC655228 EGY655228 EQU655228 FAQ655228 FKM655228 FUI655228 GEE655228 GOA655228 GXW655228 HHS655228 HRO655228 IBK655228 ILG655228 IVC655228 JEY655228 JOU655228 JYQ655228 KIM655228 KSI655228 LCE655228 LMA655228 LVW655228 MFS655228 MPO655228 MZK655228 NJG655228 NTC655228 OCY655228 OMU655228 OWQ655228 PGM655228 PQI655228 QAE655228 QKA655228 QTW655228 RDS655228 RNO655228 RXK655228 SHG655228 SRC655228 TAY655228 TKU655228 TUQ655228 UEM655228 UOI655228 UYE655228 VIA655228 VRW655228 WBS655228 WLO655228 WVK655228 IY720764 SU720764 ACQ720764 AMM720764 AWI720764 BGE720764 BQA720764 BZW720764 CJS720764 CTO720764 DDK720764 DNG720764 DXC720764 EGY720764 EQU720764 FAQ720764 FKM720764 FUI720764 GEE720764 GOA720764 GXW720764 HHS720764 HRO720764 IBK720764 ILG720764 IVC720764 JEY720764 JOU720764 JYQ720764 KIM720764 KSI720764 LCE720764 LMA720764 LVW720764 MFS720764 MPO720764 MZK720764 NJG720764 NTC720764 OCY720764 OMU720764 OWQ720764 PGM720764 PQI720764 QAE720764 QKA720764 QTW720764 RDS720764 RNO720764 RXK720764 SHG720764 SRC720764 TAY720764 TKU720764 TUQ720764 UEM720764 UOI720764 UYE720764 VIA720764 VRW720764 WBS720764 WLO720764 WVK720764 IY786300 SU786300 ACQ786300 AMM786300 AWI786300 BGE786300 BQA786300 BZW786300 CJS786300 CTO786300 DDK786300 DNG786300 DXC786300 EGY786300 EQU786300 FAQ786300 FKM786300 FUI786300 GEE786300 GOA786300 GXW786300 HHS786300 HRO786300 IBK786300 ILG786300 IVC786300 JEY786300 JOU786300 JYQ786300 KIM786300 KSI786300 LCE786300 LMA786300 LVW786300 MFS786300 MPO786300 MZK786300 NJG786300 NTC786300 OCY786300 OMU786300 OWQ786300 PGM786300 PQI786300 QAE786300 QKA786300 QTW786300 RDS786300 RNO786300 RXK786300 SHG786300 SRC786300 TAY786300 TKU786300 TUQ786300 UEM786300 UOI786300 UYE786300 VIA786300 VRW786300 WBS786300 WLO786300 WVK786300 IY851836 SU851836 ACQ851836 AMM851836 AWI851836 BGE851836 BQA851836 BZW851836 CJS851836 CTO851836 DDK851836 DNG851836 DXC851836 EGY851836 EQU851836 FAQ851836 FKM851836 FUI851836 GEE851836 GOA851836 GXW851836 HHS851836 HRO851836 IBK851836 ILG851836 IVC851836 JEY851836 JOU851836 JYQ851836 KIM851836 KSI851836 LCE851836 LMA851836 LVW851836 MFS851836 MPO851836 MZK851836 NJG851836 NTC851836 OCY851836 OMU851836 OWQ851836 PGM851836 PQI851836 QAE851836 QKA851836 QTW851836 RDS851836 RNO851836 RXK851836 SHG851836 SRC851836 TAY851836 TKU851836 TUQ851836 UEM851836 UOI851836 UYE851836 VIA851836 VRW851836 WBS851836 WLO851836 WVK851836 IY917372 SU917372 ACQ917372 AMM917372 AWI917372 BGE917372 BQA917372 BZW917372 CJS917372 CTO917372 DDK917372 DNG917372 DXC917372 EGY917372 EQU917372 FAQ917372 FKM917372 FUI917372 GEE917372 GOA917372 GXW917372 HHS917372 HRO917372 IBK917372 ILG917372 IVC917372 JEY917372 JOU917372 JYQ917372 KIM917372 KSI917372 LCE917372 LMA917372 LVW917372 MFS917372 MPO917372 MZK917372 NJG917372 NTC917372 OCY917372 OMU917372 OWQ917372 PGM917372 PQI917372 QAE917372 QKA917372 QTW917372 RDS917372 RNO917372 RXK917372 SHG917372 SRC917372 TAY917372 TKU917372 TUQ917372 UEM917372 UOI917372 UYE917372 VIA917372 VRW917372 WBS917372 WLO917372 WVK917372 IY982908 SU982908 ACQ982908 AMM982908 AWI982908 BGE982908 BQA982908 BZW982908 CJS982908 CTO982908 DDK982908 DNG982908 DXC982908 EGY982908 EQU982908 FAQ982908 FKM982908 FUI982908 GEE982908 GOA982908 GXW982908 HHS982908 HRO982908 IBK982908 ILG982908 IVC982908 JEY982908 JOU982908 JYQ982908 KIM982908 KSI982908 LCE982908 LMA982908 LVW982908 MFS982908 MPO982908 MZK982908 NJG982908 NTC982908 OCY982908 OMU982908 OWQ982908 PGM982908 PQI982908 QAE982908 QKA982908 QTW982908 RDS982908 RNO982908 RXK982908 SHG982908 SRC982908 TAY982908 TKU982908 TUQ982908 UEM982908 UOI982908 UYE982908 VIA982908 VRW982908 WBS982908 WLO982908 WVK982908"/>
    <dataValidation allowBlank="1" showInputMessage="1" showErrorMessage="1" prompt="-6.294484" sqref="JA65404 SW65404 ACS65404 AMO65404 AWK65404 BGG65404 BQC65404 BZY65404 CJU65404 CTQ65404 DDM65404 DNI65404 DXE65404 EHA65404 EQW65404 FAS65404 FKO65404 FUK65404 GEG65404 GOC65404 GXY65404 HHU65404 HRQ65404 IBM65404 ILI65404 IVE65404 JFA65404 JOW65404 JYS65404 KIO65404 KSK65404 LCG65404 LMC65404 LVY65404 MFU65404 MPQ65404 MZM65404 NJI65404 NTE65404 ODA65404 OMW65404 OWS65404 PGO65404 PQK65404 QAG65404 QKC65404 QTY65404 RDU65404 RNQ65404 RXM65404 SHI65404 SRE65404 TBA65404 TKW65404 TUS65404 UEO65404 UOK65404 UYG65404 VIC65404 VRY65404 WBU65404 WLQ65404 WVM65404 JA130940 SW130940 ACS130940 AMO130940 AWK130940 BGG130940 BQC130940 BZY130940 CJU130940 CTQ130940 DDM130940 DNI130940 DXE130940 EHA130940 EQW130940 FAS130940 FKO130940 FUK130940 GEG130940 GOC130940 GXY130940 HHU130940 HRQ130940 IBM130940 ILI130940 IVE130940 JFA130940 JOW130940 JYS130940 KIO130940 KSK130940 LCG130940 LMC130940 LVY130940 MFU130940 MPQ130940 MZM130940 NJI130940 NTE130940 ODA130940 OMW130940 OWS130940 PGO130940 PQK130940 QAG130940 QKC130940 QTY130940 RDU130940 RNQ130940 RXM130940 SHI130940 SRE130940 TBA130940 TKW130940 TUS130940 UEO130940 UOK130940 UYG130940 VIC130940 VRY130940 WBU130940 WLQ130940 WVM130940 JA196476 SW196476 ACS196476 AMO196476 AWK196476 BGG196476 BQC196476 BZY196476 CJU196476 CTQ196476 DDM196476 DNI196476 DXE196476 EHA196476 EQW196476 FAS196476 FKO196476 FUK196476 GEG196476 GOC196476 GXY196476 HHU196476 HRQ196476 IBM196476 ILI196476 IVE196476 JFA196476 JOW196476 JYS196476 KIO196476 KSK196476 LCG196476 LMC196476 LVY196476 MFU196476 MPQ196476 MZM196476 NJI196476 NTE196476 ODA196476 OMW196476 OWS196476 PGO196476 PQK196476 QAG196476 QKC196476 QTY196476 RDU196476 RNQ196476 RXM196476 SHI196476 SRE196476 TBA196476 TKW196476 TUS196476 UEO196476 UOK196476 UYG196476 VIC196476 VRY196476 WBU196476 WLQ196476 WVM196476 JA262012 SW262012 ACS262012 AMO262012 AWK262012 BGG262012 BQC262012 BZY262012 CJU262012 CTQ262012 DDM262012 DNI262012 DXE262012 EHA262012 EQW262012 FAS262012 FKO262012 FUK262012 GEG262012 GOC262012 GXY262012 HHU262012 HRQ262012 IBM262012 ILI262012 IVE262012 JFA262012 JOW262012 JYS262012 KIO262012 KSK262012 LCG262012 LMC262012 LVY262012 MFU262012 MPQ262012 MZM262012 NJI262012 NTE262012 ODA262012 OMW262012 OWS262012 PGO262012 PQK262012 QAG262012 QKC262012 QTY262012 RDU262012 RNQ262012 RXM262012 SHI262012 SRE262012 TBA262012 TKW262012 TUS262012 UEO262012 UOK262012 UYG262012 VIC262012 VRY262012 WBU262012 WLQ262012 WVM262012 JA327548 SW327548 ACS327548 AMO327548 AWK327548 BGG327548 BQC327548 BZY327548 CJU327548 CTQ327548 DDM327548 DNI327548 DXE327548 EHA327548 EQW327548 FAS327548 FKO327548 FUK327548 GEG327548 GOC327548 GXY327548 HHU327548 HRQ327548 IBM327548 ILI327548 IVE327548 JFA327548 JOW327548 JYS327548 KIO327548 KSK327548 LCG327548 LMC327548 LVY327548 MFU327548 MPQ327548 MZM327548 NJI327548 NTE327548 ODA327548 OMW327548 OWS327548 PGO327548 PQK327548 QAG327548 QKC327548 QTY327548 RDU327548 RNQ327548 RXM327548 SHI327548 SRE327548 TBA327548 TKW327548 TUS327548 UEO327548 UOK327548 UYG327548 VIC327548 VRY327548 WBU327548 WLQ327548 WVM327548 JA393084 SW393084 ACS393084 AMO393084 AWK393084 BGG393084 BQC393084 BZY393084 CJU393084 CTQ393084 DDM393084 DNI393084 DXE393084 EHA393084 EQW393084 FAS393084 FKO393084 FUK393084 GEG393084 GOC393084 GXY393084 HHU393084 HRQ393084 IBM393084 ILI393084 IVE393084 JFA393084 JOW393084 JYS393084 KIO393084 KSK393084 LCG393084 LMC393084 LVY393084 MFU393084 MPQ393084 MZM393084 NJI393084 NTE393084 ODA393084 OMW393084 OWS393084 PGO393084 PQK393084 QAG393084 QKC393084 QTY393084 RDU393084 RNQ393084 RXM393084 SHI393084 SRE393084 TBA393084 TKW393084 TUS393084 UEO393084 UOK393084 UYG393084 VIC393084 VRY393084 WBU393084 WLQ393084 WVM393084 JA458620 SW458620 ACS458620 AMO458620 AWK458620 BGG458620 BQC458620 BZY458620 CJU458620 CTQ458620 DDM458620 DNI458620 DXE458620 EHA458620 EQW458620 FAS458620 FKO458620 FUK458620 GEG458620 GOC458620 GXY458620 HHU458620 HRQ458620 IBM458620 ILI458620 IVE458620 JFA458620 JOW458620 JYS458620 KIO458620 KSK458620 LCG458620 LMC458620 LVY458620 MFU458620 MPQ458620 MZM458620 NJI458620 NTE458620 ODA458620 OMW458620 OWS458620 PGO458620 PQK458620 QAG458620 QKC458620 QTY458620 RDU458620 RNQ458620 RXM458620 SHI458620 SRE458620 TBA458620 TKW458620 TUS458620 UEO458620 UOK458620 UYG458620 VIC458620 VRY458620 WBU458620 WLQ458620 WVM458620 JA524156 SW524156 ACS524156 AMO524156 AWK524156 BGG524156 BQC524156 BZY524156 CJU524156 CTQ524156 DDM524156 DNI524156 DXE524156 EHA524156 EQW524156 FAS524156 FKO524156 FUK524156 GEG524156 GOC524156 GXY524156 HHU524156 HRQ524156 IBM524156 ILI524156 IVE524156 JFA524156 JOW524156 JYS524156 KIO524156 KSK524156 LCG524156 LMC524156 LVY524156 MFU524156 MPQ524156 MZM524156 NJI524156 NTE524156 ODA524156 OMW524156 OWS524156 PGO524156 PQK524156 QAG524156 QKC524156 QTY524156 RDU524156 RNQ524156 RXM524156 SHI524156 SRE524156 TBA524156 TKW524156 TUS524156 UEO524156 UOK524156 UYG524156 VIC524156 VRY524156 WBU524156 WLQ524156 WVM524156 JA589692 SW589692 ACS589692 AMO589692 AWK589692 BGG589692 BQC589692 BZY589692 CJU589692 CTQ589692 DDM589692 DNI589692 DXE589692 EHA589692 EQW589692 FAS589692 FKO589692 FUK589692 GEG589692 GOC589692 GXY589692 HHU589692 HRQ589692 IBM589692 ILI589692 IVE589692 JFA589692 JOW589692 JYS589692 KIO589692 KSK589692 LCG589692 LMC589692 LVY589692 MFU589692 MPQ589692 MZM589692 NJI589692 NTE589692 ODA589692 OMW589692 OWS589692 PGO589692 PQK589692 QAG589692 QKC589692 QTY589692 RDU589692 RNQ589692 RXM589692 SHI589692 SRE589692 TBA589692 TKW589692 TUS589692 UEO589692 UOK589692 UYG589692 VIC589692 VRY589692 WBU589692 WLQ589692 WVM589692 JA655228 SW655228 ACS655228 AMO655228 AWK655228 BGG655228 BQC655228 BZY655228 CJU655228 CTQ655228 DDM655228 DNI655228 DXE655228 EHA655228 EQW655228 FAS655228 FKO655228 FUK655228 GEG655228 GOC655228 GXY655228 HHU655228 HRQ655228 IBM655228 ILI655228 IVE655228 JFA655228 JOW655228 JYS655228 KIO655228 KSK655228 LCG655228 LMC655228 LVY655228 MFU655228 MPQ655228 MZM655228 NJI655228 NTE655228 ODA655228 OMW655228 OWS655228 PGO655228 PQK655228 QAG655228 QKC655228 QTY655228 RDU655228 RNQ655228 RXM655228 SHI655228 SRE655228 TBA655228 TKW655228 TUS655228 UEO655228 UOK655228 UYG655228 VIC655228 VRY655228 WBU655228 WLQ655228 WVM655228 JA720764 SW720764 ACS720764 AMO720764 AWK720764 BGG720764 BQC720764 BZY720764 CJU720764 CTQ720764 DDM720764 DNI720764 DXE720764 EHA720764 EQW720764 FAS720764 FKO720764 FUK720764 GEG720764 GOC720764 GXY720764 HHU720764 HRQ720764 IBM720764 ILI720764 IVE720764 JFA720764 JOW720764 JYS720764 KIO720764 KSK720764 LCG720764 LMC720764 LVY720764 MFU720764 MPQ720764 MZM720764 NJI720764 NTE720764 ODA720764 OMW720764 OWS720764 PGO720764 PQK720764 QAG720764 QKC720764 QTY720764 RDU720764 RNQ720764 RXM720764 SHI720764 SRE720764 TBA720764 TKW720764 TUS720764 UEO720764 UOK720764 UYG720764 VIC720764 VRY720764 WBU720764 WLQ720764 WVM720764 JA786300 SW786300 ACS786300 AMO786300 AWK786300 BGG786300 BQC786300 BZY786300 CJU786300 CTQ786300 DDM786300 DNI786300 DXE786300 EHA786300 EQW786300 FAS786300 FKO786300 FUK786300 GEG786300 GOC786300 GXY786300 HHU786300 HRQ786300 IBM786300 ILI786300 IVE786300 JFA786300 JOW786300 JYS786300 KIO786300 KSK786300 LCG786300 LMC786300 LVY786300 MFU786300 MPQ786300 MZM786300 NJI786300 NTE786300 ODA786300 OMW786300 OWS786300 PGO786300 PQK786300 QAG786300 QKC786300 QTY786300 RDU786300 RNQ786300 RXM786300 SHI786300 SRE786300 TBA786300 TKW786300 TUS786300 UEO786300 UOK786300 UYG786300 VIC786300 VRY786300 WBU786300 WLQ786300 WVM786300 JA851836 SW851836 ACS851836 AMO851836 AWK851836 BGG851836 BQC851836 BZY851836 CJU851836 CTQ851836 DDM851836 DNI851836 DXE851836 EHA851836 EQW851836 FAS851836 FKO851836 FUK851836 GEG851836 GOC851836 GXY851836 HHU851836 HRQ851836 IBM851836 ILI851836 IVE851836 JFA851836 JOW851836 JYS851836 KIO851836 KSK851836 LCG851836 LMC851836 LVY851836 MFU851836 MPQ851836 MZM851836 NJI851836 NTE851836 ODA851836 OMW851836 OWS851836 PGO851836 PQK851836 QAG851836 QKC851836 QTY851836 RDU851836 RNQ851836 RXM851836 SHI851836 SRE851836 TBA851836 TKW851836 TUS851836 UEO851836 UOK851836 UYG851836 VIC851836 VRY851836 WBU851836 WLQ851836 WVM851836 JA917372 SW917372 ACS917372 AMO917372 AWK917372 BGG917372 BQC917372 BZY917372 CJU917372 CTQ917372 DDM917372 DNI917372 DXE917372 EHA917372 EQW917372 FAS917372 FKO917372 FUK917372 GEG917372 GOC917372 GXY917372 HHU917372 HRQ917372 IBM917372 ILI917372 IVE917372 JFA917372 JOW917372 JYS917372 KIO917372 KSK917372 LCG917372 LMC917372 LVY917372 MFU917372 MPQ917372 MZM917372 NJI917372 NTE917372 ODA917372 OMW917372 OWS917372 PGO917372 PQK917372 QAG917372 QKC917372 QTY917372 RDU917372 RNQ917372 RXM917372 SHI917372 SRE917372 TBA917372 TKW917372 TUS917372 UEO917372 UOK917372 UYG917372 VIC917372 VRY917372 WBU917372 WLQ917372 WVM917372 JA982908 SW982908 ACS982908 AMO982908 AWK982908 BGG982908 BQC982908 BZY982908 CJU982908 CTQ982908 DDM982908 DNI982908 DXE982908 EHA982908 EQW982908 FAS982908 FKO982908 FUK982908 GEG982908 GOC982908 GXY982908 HHU982908 HRQ982908 IBM982908 ILI982908 IVE982908 JFA982908 JOW982908 JYS982908 KIO982908 KSK982908 LCG982908 LMC982908 LVY982908 MFU982908 MPQ982908 MZM982908 NJI982908 NTE982908 ODA982908 OMW982908 OWS982908 PGO982908 PQK982908 QAG982908 QKC982908 QTY982908 RDU982908 RNQ982908 RXM982908 SHI982908 SRE982908 TBA982908 TKW982908 TUS982908 UEO982908 UOK982908 UYG982908 VIC982908 VRY982908 WBU982908 WLQ982908 WVM982908"/>
    <dataValidation allowBlank="1" showInputMessage="1" showErrorMessage="1" prompt="53° 20' 52.4436''" sqref="IY65408 SU65408 ACQ65408 AMM65408 AWI65408 BGE65408 BQA65408 BZW65408 CJS65408 CTO65408 DDK65408 DNG65408 DXC65408 EGY65408 EQU65408 FAQ65408 FKM65408 FUI65408 GEE65408 GOA65408 GXW65408 HHS65408 HRO65408 IBK65408 ILG65408 IVC65408 JEY65408 JOU65408 JYQ65408 KIM65408 KSI65408 LCE65408 LMA65408 LVW65408 MFS65408 MPO65408 MZK65408 NJG65408 NTC65408 OCY65408 OMU65408 OWQ65408 PGM65408 PQI65408 QAE65408 QKA65408 QTW65408 RDS65408 RNO65408 RXK65408 SHG65408 SRC65408 TAY65408 TKU65408 TUQ65408 UEM65408 UOI65408 UYE65408 VIA65408 VRW65408 WBS65408 WLO65408 WVK65408 IY130944 SU130944 ACQ130944 AMM130944 AWI130944 BGE130944 BQA130944 BZW130944 CJS130944 CTO130944 DDK130944 DNG130944 DXC130944 EGY130944 EQU130944 FAQ130944 FKM130944 FUI130944 GEE130944 GOA130944 GXW130944 HHS130944 HRO130944 IBK130944 ILG130944 IVC130944 JEY130944 JOU130944 JYQ130944 KIM130944 KSI130944 LCE130944 LMA130944 LVW130944 MFS130944 MPO130944 MZK130944 NJG130944 NTC130944 OCY130944 OMU130944 OWQ130944 PGM130944 PQI130944 QAE130944 QKA130944 QTW130944 RDS130944 RNO130944 RXK130944 SHG130944 SRC130944 TAY130944 TKU130944 TUQ130944 UEM130944 UOI130944 UYE130944 VIA130944 VRW130944 WBS130944 WLO130944 WVK130944 IY196480 SU196480 ACQ196480 AMM196480 AWI196480 BGE196480 BQA196480 BZW196480 CJS196480 CTO196480 DDK196480 DNG196480 DXC196480 EGY196480 EQU196480 FAQ196480 FKM196480 FUI196480 GEE196480 GOA196480 GXW196480 HHS196480 HRO196480 IBK196480 ILG196480 IVC196480 JEY196480 JOU196480 JYQ196480 KIM196480 KSI196480 LCE196480 LMA196480 LVW196480 MFS196480 MPO196480 MZK196480 NJG196480 NTC196480 OCY196480 OMU196480 OWQ196480 PGM196480 PQI196480 QAE196480 QKA196480 QTW196480 RDS196480 RNO196480 RXK196480 SHG196480 SRC196480 TAY196480 TKU196480 TUQ196480 UEM196480 UOI196480 UYE196480 VIA196480 VRW196480 WBS196480 WLO196480 WVK196480 IY262016 SU262016 ACQ262016 AMM262016 AWI262016 BGE262016 BQA262016 BZW262016 CJS262016 CTO262016 DDK262016 DNG262016 DXC262016 EGY262016 EQU262016 FAQ262016 FKM262016 FUI262016 GEE262016 GOA262016 GXW262016 HHS262016 HRO262016 IBK262016 ILG262016 IVC262016 JEY262016 JOU262016 JYQ262016 KIM262016 KSI262016 LCE262016 LMA262016 LVW262016 MFS262016 MPO262016 MZK262016 NJG262016 NTC262016 OCY262016 OMU262016 OWQ262016 PGM262016 PQI262016 QAE262016 QKA262016 QTW262016 RDS262016 RNO262016 RXK262016 SHG262016 SRC262016 TAY262016 TKU262016 TUQ262016 UEM262016 UOI262016 UYE262016 VIA262016 VRW262016 WBS262016 WLO262016 WVK262016 IY327552 SU327552 ACQ327552 AMM327552 AWI327552 BGE327552 BQA327552 BZW327552 CJS327552 CTO327552 DDK327552 DNG327552 DXC327552 EGY327552 EQU327552 FAQ327552 FKM327552 FUI327552 GEE327552 GOA327552 GXW327552 HHS327552 HRO327552 IBK327552 ILG327552 IVC327552 JEY327552 JOU327552 JYQ327552 KIM327552 KSI327552 LCE327552 LMA327552 LVW327552 MFS327552 MPO327552 MZK327552 NJG327552 NTC327552 OCY327552 OMU327552 OWQ327552 PGM327552 PQI327552 QAE327552 QKA327552 QTW327552 RDS327552 RNO327552 RXK327552 SHG327552 SRC327552 TAY327552 TKU327552 TUQ327552 UEM327552 UOI327552 UYE327552 VIA327552 VRW327552 WBS327552 WLO327552 WVK327552 IY393088 SU393088 ACQ393088 AMM393088 AWI393088 BGE393088 BQA393088 BZW393088 CJS393088 CTO393088 DDK393088 DNG393088 DXC393088 EGY393088 EQU393088 FAQ393088 FKM393088 FUI393088 GEE393088 GOA393088 GXW393088 HHS393088 HRO393088 IBK393088 ILG393088 IVC393088 JEY393088 JOU393088 JYQ393088 KIM393088 KSI393088 LCE393088 LMA393088 LVW393088 MFS393088 MPO393088 MZK393088 NJG393088 NTC393088 OCY393088 OMU393088 OWQ393088 PGM393088 PQI393088 QAE393088 QKA393088 QTW393088 RDS393088 RNO393088 RXK393088 SHG393088 SRC393088 TAY393088 TKU393088 TUQ393088 UEM393088 UOI393088 UYE393088 VIA393088 VRW393088 WBS393088 WLO393088 WVK393088 IY458624 SU458624 ACQ458624 AMM458624 AWI458624 BGE458624 BQA458624 BZW458624 CJS458624 CTO458624 DDK458624 DNG458624 DXC458624 EGY458624 EQU458624 FAQ458624 FKM458624 FUI458624 GEE458624 GOA458624 GXW458624 HHS458624 HRO458624 IBK458624 ILG458624 IVC458624 JEY458624 JOU458624 JYQ458624 KIM458624 KSI458624 LCE458624 LMA458624 LVW458624 MFS458624 MPO458624 MZK458624 NJG458624 NTC458624 OCY458624 OMU458624 OWQ458624 PGM458624 PQI458624 QAE458624 QKA458624 QTW458624 RDS458624 RNO458624 RXK458624 SHG458624 SRC458624 TAY458624 TKU458624 TUQ458624 UEM458624 UOI458624 UYE458624 VIA458624 VRW458624 WBS458624 WLO458624 WVK458624 IY524160 SU524160 ACQ524160 AMM524160 AWI524160 BGE524160 BQA524160 BZW524160 CJS524160 CTO524160 DDK524160 DNG524160 DXC524160 EGY524160 EQU524160 FAQ524160 FKM524160 FUI524160 GEE524160 GOA524160 GXW524160 HHS524160 HRO524160 IBK524160 ILG524160 IVC524160 JEY524160 JOU524160 JYQ524160 KIM524160 KSI524160 LCE524160 LMA524160 LVW524160 MFS524160 MPO524160 MZK524160 NJG524160 NTC524160 OCY524160 OMU524160 OWQ524160 PGM524160 PQI524160 QAE524160 QKA524160 QTW524160 RDS524160 RNO524160 RXK524160 SHG524160 SRC524160 TAY524160 TKU524160 TUQ524160 UEM524160 UOI524160 UYE524160 VIA524160 VRW524160 WBS524160 WLO524160 WVK524160 IY589696 SU589696 ACQ589696 AMM589696 AWI589696 BGE589696 BQA589696 BZW589696 CJS589696 CTO589696 DDK589696 DNG589696 DXC589696 EGY589696 EQU589696 FAQ589696 FKM589696 FUI589696 GEE589696 GOA589696 GXW589696 HHS589696 HRO589696 IBK589696 ILG589696 IVC589696 JEY589696 JOU589696 JYQ589696 KIM589696 KSI589696 LCE589696 LMA589696 LVW589696 MFS589696 MPO589696 MZK589696 NJG589696 NTC589696 OCY589696 OMU589696 OWQ589696 PGM589696 PQI589696 QAE589696 QKA589696 QTW589696 RDS589696 RNO589696 RXK589696 SHG589696 SRC589696 TAY589696 TKU589696 TUQ589696 UEM589696 UOI589696 UYE589696 VIA589696 VRW589696 WBS589696 WLO589696 WVK589696 IY655232 SU655232 ACQ655232 AMM655232 AWI655232 BGE655232 BQA655232 BZW655232 CJS655232 CTO655232 DDK655232 DNG655232 DXC655232 EGY655232 EQU655232 FAQ655232 FKM655232 FUI655232 GEE655232 GOA655232 GXW655232 HHS655232 HRO655232 IBK655232 ILG655232 IVC655232 JEY655232 JOU655232 JYQ655232 KIM655232 KSI655232 LCE655232 LMA655232 LVW655232 MFS655232 MPO655232 MZK655232 NJG655232 NTC655232 OCY655232 OMU655232 OWQ655232 PGM655232 PQI655232 QAE655232 QKA655232 QTW655232 RDS655232 RNO655232 RXK655232 SHG655232 SRC655232 TAY655232 TKU655232 TUQ655232 UEM655232 UOI655232 UYE655232 VIA655232 VRW655232 WBS655232 WLO655232 WVK655232 IY720768 SU720768 ACQ720768 AMM720768 AWI720768 BGE720768 BQA720768 BZW720768 CJS720768 CTO720768 DDK720768 DNG720768 DXC720768 EGY720768 EQU720768 FAQ720768 FKM720768 FUI720768 GEE720768 GOA720768 GXW720768 HHS720768 HRO720768 IBK720768 ILG720768 IVC720768 JEY720768 JOU720768 JYQ720768 KIM720768 KSI720768 LCE720768 LMA720768 LVW720768 MFS720768 MPO720768 MZK720768 NJG720768 NTC720768 OCY720768 OMU720768 OWQ720768 PGM720768 PQI720768 QAE720768 QKA720768 QTW720768 RDS720768 RNO720768 RXK720768 SHG720768 SRC720768 TAY720768 TKU720768 TUQ720768 UEM720768 UOI720768 UYE720768 VIA720768 VRW720768 WBS720768 WLO720768 WVK720768 IY786304 SU786304 ACQ786304 AMM786304 AWI786304 BGE786304 BQA786304 BZW786304 CJS786304 CTO786304 DDK786304 DNG786304 DXC786304 EGY786304 EQU786304 FAQ786304 FKM786304 FUI786304 GEE786304 GOA786304 GXW786304 HHS786304 HRO786304 IBK786304 ILG786304 IVC786304 JEY786304 JOU786304 JYQ786304 KIM786304 KSI786304 LCE786304 LMA786304 LVW786304 MFS786304 MPO786304 MZK786304 NJG786304 NTC786304 OCY786304 OMU786304 OWQ786304 PGM786304 PQI786304 QAE786304 QKA786304 QTW786304 RDS786304 RNO786304 RXK786304 SHG786304 SRC786304 TAY786304 TKU786304 TUQ786304 UEM786304 UOI786304 UYE786304 VIA786304 VRW786304 WBS786304 WLO786304 WVK786304 IY851840 SU851840 ACQ851840 AMM851840 AWI851840 BGE851840 BQA851840 BZW851840 CJS851840 CTO851840 DDK851840 DNG851840 DXC851840 EGY851840 EQU851840 FAQ851840 FKM851840 FUI851840 GEE851840 GOA851840 GXW851840 HHS851840 HRO851840 IBK851840 ILG851840 IVC851840 JEY851840 JOU851840 JYQ851840 KIM851840 KSI851840 LCE851840 LMA851840 LVW851840 MFS851840 MPO851840 MZK851840 NJG851840 NTC851840 OCY851840 OMU851840 OWQ851840 PGM851840 PQI851840 QAE851840 QKA851840 QTW851840 RDS851840 RNO851840 RXK851840 SHG851840 SRC851840 TAY851840 TKU851840 TUQ851840 UEM851840 UOI851840 UYE851840 VIA851840 VRW851840 WBS851840 WLO851840 WVK851840 IY917376 SU917376 ACQ917376 AMM917376 AWI917376 BGE917376 BQA917376 BZW917376 CJS917376 CTO917376 DDK917376 DNG917376 DXC917376 EGY917376 EQU917376 FAQ917376 FKM917376 FUI917376 GEE917376 GOA917376 GXW917376 HHS917376 HRO917376 IBK917376 ILG917376 IVC917376 JEY917376 JOU917376 JYQ917376 KIM917376 KSI917376 LCE917376 LMA917376 LVW917376 MFS917376 MPO917376 MZK917376 NJG917376 NTC917376 OCY917376 OMU917376 OWQ917376 PGM917376 PQI917376 QAE917376 QKA917376 QTW917376 RDS917376 RNO917376 RXK917376 SHG917376 SRC917376 TAY917376 TKU917376 TUQ917376 UEM917376 UOI917376 UYE917376 VIA917376 VRW917376 WBS917376 WLO917376 WVK917376 IY982912 SU982912 ACQ982912 AMM982912 AWI982912 BGE982912 BQA982912 BZW982912 CJS982912 CTO982912 DDK982912 DNG982912 DXC982912 EGY982912 EQU982912 FAQ982912 FKM982912 FUI982912 GEE982912 GOA982912 GXW982912 HHS982912 HRO982912 IBK982912 ILG982912 IVC982912 JEY982912 JOU982912 JYQ982912 KIM982912 KSI982912 LCE982912 LMA982912 LVW982912 MFS982912 MPO982912 MZK982912 NJG982912 NTC982912 OCY982912 OMU982912 OWQ982912 PGM982912 PQI982912 QAE982912 QKA982912 QTW982912 RDS982912 RNO982912 RXK982912 SHG982912 SRC982912 TAY982912 TKU982912 TUQ982912 UEM982912 UOI982912 UYE982912 VIA982912 VRW982912 WBS982912 WLO982912 WVK982912"/>
    <dataValidation allowBlank="1" showInputMessage="1" showErrorMessage="1" prompt="6° 17' 40.1424''" sqref="JA65408 SW65408 ACS65408 AMO65408 AWK65408 BGG65408 BQC65408 BZY65408 CJU65408 CTQ65408 DDM65408 DNI65408 DXE65408 EHA65408 EQW65408 FAS65408 FKO65408 FUK65408 GEG65408 GOC65408 GXY65408 HHU65408 HRQ65408 IBM65408 ILI65408 IVE65408 JFA65408 JOW65408 JYS65408 KIO65408 KSK65408 LCG65408 LMC65408 LVY65408 MFU65408 MPQ65408 MZM65408 NJI65408 NTE65408 ODA65408 OMW65408 OWS65408 PGO65408 PQK65408 QAG65408 QKC65408 QTY65408 RDU65408 RNQ65408 RXM65408 SHI65408 SRE65408 TBA65408 TKW65408 TUS65408 UEO65408 UOK65408 UYG65408 VIC65408 VRY65408 WBU65408 WLQ65408 WVM65408 JA130944 SW130944 ACS130944 AMO130944 AWK130944 BGG130944 BQC130944 BZY130944 CJU130944 CTQ130944 DDM130944 DNI130944 DXE130944 EHA130944 EQW130944 FAS130944 FKO130944 FUK130944 GEG130944 GOC130944 GXY130944 HHU130944 HRQ130944 IBM130944 ILI130944 IVE130944 JFA130944 JOW130944 JYS130944 KIO130944 KSK130944 LCG130944 LMC130944 LVY130944 MFU130944 MPQ130944 MZM130944 NJI130944 NTE130944 ODA130944 OMW130944 OWS130944 PGO130944 PQK130944 QAG130944 QKC130944 QTY130944 RDU130944 RNQ130944 RXM130944 SHI130944 SRE130944 TBA130944 TKW130944 TUS130944 UEO130944 UOK130944 UYG130944 VIC130944 VRY130944 WBU130944 WLQ130944 WVM130944 JA196480 SW196480 ACS196480 AMO196480 AWK196480 BGG196480 BQC196480 BZY196480 CJU196480 CTQ196480 DDM196480 DNI196480 DXE196480 EHA196480 EQW196480 FAS196480 FKO196480 FUK196480 GEG196480 GOC196480 GXY196480 HHU196480 HRQ196480 IBM196480 ILI196480 IVE196480 JFA196480 JOW196480 JYS196480 KIO196480 KSK196480 LCG196480 LMC196480 LVY196480 MFU196480 MPQ196480 MZM196480 NJI196480 NTE196480 ODA196480 OMW196480 OWS196480 PGO196480 PQK196480 QAG196480 QKC196480 QTY196480 RDU196480 RNQ196480 RXM196480 SHI196480 SRE196480 TBA196480 TKW196480 TUS196480 UEO196480 UOK196480 UYG196480 VIC196480 VRY196480 WBU196480 WLQ196480 WVM196480 JA262016 SW262016 ACS262016 AMO262016 AWK262016 BGG262016 BQC262016 BZY262016 CJU262016 CTQ262016 DDM262016 DNI262016 DXE262016 EHA262016 EQW262016 FAS262016 FKO262016 FUK262016 GEG262016 GOC262016 GXY262016 HHU262016 HRQ262016 IBM262016 ILI262016 IVE262016 JFA262016 JOW262016 JYS262016 KIO262016 KSK262016 LCG262016 LMC262016 LVY262016 MFU262016 MPQ262016 MZM262016 NJI262016 NTE262016 ODA262016 OMW262016 OWS262016 PGO262016 PQK262016 QAG262016 QKC262016 QTY262016 RDU262016 RNQ262016 RXM262016 SHI262016 SRE262016 TBA262016 TKW262016 TUS262016 UEO262016 UOK262016 UYG262016 VIC262016 VRY262016 WBU262016 WLQ262016 WVM262016 JA327552 SW327552 ACS327552 AMO327552 AWK327552 BGG327552 BQC327552 BZY327552 CJU327552 CTQ327552 DDM327552 DNI327552 DXE327552 EHA327552 EQW327552 FAS327552 FKO327552 FUK327552 GEG327552 GOC327552 GXY327552 HHU327552 HRQ327552 IBM327552 ILI327552 IVE327552 JFA327552 JOW327552 JYS327552 KIO327552 KSK327552 LCG327552 LMC327552 LVY327552 MFU327552 MPQ327552 MZM327552 NJI327552 NTE327552 ODA327552 OMW327552 OWS327552 PGO327552 PQK327552 QAG327552 QKC327552 QTY327552 RDU327552 RNQ327552 RXM327552 SHI327552 SRE327552 TBA327552 TKW327552 TUS327552 UEO327552 UOK327552 UYG327552 VIC327552 VRY327552 WBU327552 WLQ327552 WVM327552 JA393088 SW393088 ACS393088 AMO393088 AWK393088 BGG393088 BQC393088 BZY393088 CJU393088 CTQ393088 DDM393088 DNI393088 DXE393088 EHA393088 EQW393088 FAS393088 FKO393088 FUK393088 GEG393088 GOC393088 GXY393088 HHU393088 HRQ393088 IBM393088 ILI393088 IVE393088 JFA393088 JOW393088 JYS393088 KIO393088 KSK393088 LCG393088 LMC393088 LVY393088 MFU393088 MPQ393088 MZM393088 NJI393088 NTE393088 ODA393088 OMW393088 OWS393088 PGO393088 PQK393088 QAG393088 QKC393088 QTY393088 RDU393088 RNQ393088 RXM393088 SHI393088 SRE393088 TBA393088 TKW393088 TUS393088 UEO393088 UOK393088 UYG393088 VIC393088 VRY393088 WBU393088 WLQ393088 WVM393088 JA458624 SW458624 ACS458624 AMO458624 AWK458624 BGG458624 BQC458624 BZY458624 CJU458624 CTQ458624 DDM458624 DNI458624 DXE458624 EHA458624 EQW458624 FAS458624 FKO458624 FUK458624 GEG458624 GOC458624 GXY458624 HHU458624 HRQ458624 IBM458624 ILI458624 IVE458624 JFA458624 JOW458624 JYS458624 KIO458624 KSK458624 LCG458624 LMC458624 LVY458624 MFU458624 MPQ458624 MZM458624 NJI458624 NTE458624 ODA458624 OMW458624 OWS458624 PGO458624 PQK458624 QAG458624 QKC458624 QTY458624 RDU458624 RNQ458624 RXM458624 SHI458624 SRE458624 TBA458624 TKW458624 TUS458624 UEO458624 UOK458624 UYG458624 VIC458624 VRY458624 WBU458624 WLQ458624 WVM458624 JA524160 SW524160 ACS524160 AMO524160 AWK524160 BGG524160 BQC524160 BZY524160 CJU524160 CTQ524160 DDM524160 DNI524160 DXE524160 EHA524160 EQW524160 FAS524160 FKO524160 FUK524160 GEG524160 GOC524160 GXY524160 HHU524160 HRQ524160 IBM524160 ILI524160 IVE524160 JFA524160 JOW524160 JYS524160 KIO524160 KSK524160 LCG524160 LMC524160 LVY524160 MFU524160 MPQ524160 MZM524160 NJI524160 NTE524160 ODA524160 OMW524160 OWS524160 PGO524160 PQK524160 QAG524160 QKC524160 QTY524160 RDU524160 RNQ524160 RXM524160 SHI524160 SRE524160 TBA524160 TKW524160 TUS524160 UEO524160 UOK524160 UYG524160 VIC524160 VRY524160 WBU524160 WLQ524160 WVM524160 JA589696 SW589696 ACS589696 AMO589696 AWK589696 BGG589696 BQC589696 BZY589696 CJU589696 CTQ589696 DDM589696 DNI589696 DXE589696 EHA589696 EQW589696 FAS589696 FKO589696 FUK589696 GEG589696 GOC589696 GXY589696 HHU589696 HRQ589696 IBM589696 ILI589696 IVE589696 JFA589696 JOW589696 JYS589696 KIO589696 KSK589696 LCG589696 LMC589696 LVY589696 MFU589696 MPQ589696 MZM589696 NJI589696 NTE589696 ODA589696 OMW589696 OWS589696 PGO589696 PQK589696 QAG589696 QKC589696 QTY589696 RDU589696 RNQ589696 RXM589696 SHI589696 SRE589696 TBA589696 TKW589696 TUS589696 UEO589696 UOK589696 UYG589696 VIC589696 VRY589696 WBU589696 WLQ589696 WVM589696 JA655232 SW655232 ACS655232 AMO655232 AWK655232 BGG655232 BQC655232 BZY655232 CJU655232 CTQ655232 DDM655232 DNI655232 DXE655232 EHA655232 EQW655232 FAS655232 FKO655232 FUK655232 GEG655232 GOC655232 GXY655232 HHU655232 HRQ655232 IBM655232 ILI655232 IVE655232 JFA655232 JOW655232 JYS655232 KIO655232 KSK655232 LCG655232 LMC655232 LVY655232 MFU655232 MPQ655232 MZM655232 NJI655232 NTE655232 ODA655232 OMW655232 OWS655232 PGO655232 PQK655232 QAG655232 QKC655232 QTY655232 RDU655232 RNQ655232 RXM655232 SHI655232 SRE655232 TBA655232 TKW655232 TUS655232 UEO655232 UOK655232 UYG655232 VIC655232 VRY655232 WBU655232 WLQ655232 WVM655232 JA720768 SW720768 ACS720768 AMO720768 AWK720768 BGG720768 BQC720768 BZY720768 CJU720768 CTQ720768 DDM720768 DNI720768 DXE720768 EHA720768 EQW720768 FAS720768 FKO720768 FUK720768 GEG720768 GOC720768 GXY720768 HHU720768 HRQ720768 IBM720768 ILI720768 IVE720768 JFA720768 JOW720768 JYS720768 KIO720768 KSK720768 LCG720768 LMC720768 LVY720768 MFU720768 MPQ720768 MZM720768 NJI720768 NTE720768 ODA720768 OMW720768 OWS720768 PGO720768 PQK720768 QAG720768 QKC720768 QTY720768 RDU720768 RNQ720768 RXM720768 SHI720768 SRE720768 TBA720768 TKW720768 TUS720768 UEO720768 UOK720768 UYG720768 VIC720768 VRY720768 WBU720768 WLQ720768 WVM720768 JA786304 SW786304 ACS786304 AMO786304 AWK786304 BGG786304 BQC786304 BZY786304 CJU786304 CTQ786304 DDM786304 DNI786304 DXE786304 EHA786304 EQW786304 FAS786304 FKO786304 FUK786304 GEG786304 GOC786304 GXY786304 HHU786304 HRQ786304 IBM786304 ILI786304 IVE786304 JFA786304 JOW786304 JYS786304 KIO786304 KSK786304 LCG786304 LMC786304 LVY786304 MFU786304 MPQ786304 MZM786304 NJI786304 NTE786304 ODA786304 OMW786304 OWS786304 PGO786304 PQK786304 QAG786304 QKC786304 QTY786304 RDU786304 RNQ786304 RXM786304 SHI786304 SRE786304 TBA786304 TKW786304 TUS786304 UEO786304 UOK786304 UYG786304 VIC786304 VRY786304 WBU786304 WLQ786304 WVM786304 JA851840 SW851840 ACS851840 AMO851840 AWK851840 BGG851840 BQC851840 BZY851840 CJU851840 CTQ851840 DDM851840 DNI851840 DXE851840 EHA851840 EQW851840 FAS851840 FKO851840 FUK851840 GEG851840 GOC851840 GXY851840 HHU851840 HRQ851840 IBM851840 ILI851840 IVE851840 JFA851840 JOW851840 JYS851840 KIO851840 KSK851840 LCG851840 LMC851840 LVY851840 MFU851840 MPQ851840 MZM851840 NJI851840 NTE851840 ODA851840 OMW851840 OWS851840 PGO851840 PQK851840 QAG851840 QKC851840 QTY851840 RDU851840 RNQ851840 RXM851840 SHI851840 SRE851840 TBA851840 TKW851840 TUS851840 UEO851840 UOK851840 UYG851840 VIC851840 VRY851840 WBU851840 WLQ851840 WVM851840 JA917376 SW917376 ACS917376 AMO917376 AWK917376 BGG917376 BQC917376 BZY917376 CJU917376 CTQ917376 DDM917376 DNI917376 DXE917376 EHA917376 EQW917376 FAS917376 FKO917376 FUK917376 GEG917376 GOC917376 GXY917376 HHU917376 HRQ917376 IBM917376 ILI917376 IVE917376 JFA917376 JOW917376 JYS917376 KIO917376 KSK917376 LCG917376 LMC917376 LVY917376 MFU917376 MPQ917376 MZM917376 NJI917376 NTE917376 ODA917376 OMW917376 OWS917376 PGO917376 PQK917376 QAG917376 QKC917376 QTY917376 RDU917376 RNQ917376 RXM917376 SHI917376 SRE917376 TBA917376 TKW917376 TUS917376 UEO917376 UOK917376 UYG917376 VIC917376 VRY917376 WBU917376 WLQ917376 WVM917376 JA982912 SW982912 ACS982912 AMO982912 AWK982912 BGG982912 BQC982912 BZY982912 CJU982912 CTQ982912 DDM982912 DNI982912 DXE982912 EHA982912 EQW982912 FAS982912 FKO982912 FUK982912 GEG982912 GOC982912 GXY982912 HHU982912 HRQ982912 IBM982912 ILI982912 IVE982912 JFA982912 JOW982912 JYS982912 KIO982912 KSK982912 LCG982912 LMC982912 LVY982912 MFU982912 MPQ982912 MZM982912 NJI982912 NTE982912 ODA982912 OMW982912 OWS982912 PGO982912 PQK982912 QAG982912 QKC982912 QTY982912 RDU982912 RNQ982912 RXM982912 SHI982912 SRE982912 TBA982912 TKW982912 TUS982912 UEO982912 UOK982912 UYG982912 VIC982912 VRY982912 WBU982912 WLQ982912 WVM982912"/>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view="pageLayout" topLeftCell="A21" zoomScale="80" zoomScaleNormal="100" zoomScalePageLayoutView="80" workbookViewId="0">
      <selection activeCell="F34" sqref="F34:J34"/>
    </sheetView>
  </sheetViews>
  <sheetFormatPr defaultRowHeight="15" customHeight="1" x14ac:dyDescent="0.3"/>
  <cols>
    <col min="1" max="1" width="2.6640625" style="2" customWidth="1"/>
    <col min="2" max="2" width="19.109375" style="2" customWidth="1"/>
    <col min="3" max="3" width="23.109375" style="2" customWidth="1"/>
    <col min="4" max="4" width="8.5546875" style="2" customWidth="1"/>
    <col min="5" max="5" width="11" style="2" bestFit="1" customWidth="1"/>
    <col min="6" max="6" width="14.109375" style="2" customWidth="1"/>
    <col min="7" max="7" width="8.5546875" style="2" customWidth="1"/>
    <col min="8" max="8" width="15" style="2" customWidth="1"/>
    <col min="9" max="9" width="18.5546875" style="2" customWidth="1"/>
    <col min="10" max="10" width="19.109375" style="2" customWidth="1"/>
    <col min="11" max="11" width="2.5546875" style="2" customWidth="1"/>
    <col min="12" max="240" width="7.6640625" style="2" customWidth="1"/>
    <col min="241" max="241" width="14.33203125" style="2" customWidth="1"/>
    <col min="242" max="242" width="4" style="2" customWidth="1"/>
    <col min="243" max="243" width="14.33203125" style="2" customWidth="1"/>
    <col min="244" max="244" width="4" style="2" customWidth="1"/>
    <col min="245" max="496" width="7.6640625" style="2" customWidth="1"/>
    <col min="497" max="497" width="14.33203125" style="2" customWidth="1"/>
    <col min="498" max="498" width="4" style="2" customWidth="1"/>
    <col min="499" max="499" width="14.33203125" style="2" customWidth="1"/>
    <col min="500" max="500" width="4" style="2" customWidth="1"/>
    <col min="501" max="752" width="7.6640625" style="2" customWidth="1"/>
    <col min="753" max="753" width="14.33203125" style="2" customWidth="1"/>
    <col min="754" max="754" width="4" style="2" customWidth="1"/>
    <col min="755" max="755" width="14.33203125" style="2" customWidth="1"/>
    <col min="756" max="756" width="4" style="2" customWidth="1"/>
    <col min="757" max="1008" width="7.6640625" style="2" customWidth="1"/>
    <col min="1009" max="1009" width="14.33203125" style="2" customWidth="1"/>
    <col min="1010" max="1010" width="4" style="2" customWidth="1"/>
    <col min="1011" max="1011" width="14.33203125" style="2" customWidth="1"/>
    <col min="1012" max="1012" width="4" style="2" customWidth="1"/>
    <col min="1013" max="1264" width="7.6640625" style="2" customWidth="1"/>
    <col min="1265" max="1265" width="14.33203125" style="2" customWidth="1"/>
    <col min="1266" max="1266" width="4" style="2" customWidth="1"/>
    <col min="1267" max="1267" width="14.33203125" style="2" customWidth="1"/>
    <col min="1268" max="1268" width="4" style="2" customWidth="1"/>
    <col min="1269" max="1520" width="7.6640625" style="2" customWidth="1"/>
    <col min="1521" max="1521" width="14.33203125" style="2" customWidth="1"/>
    <col min="1522" max="1522" width="4" style="2" customWidth="1"/>
    <col min="1523" max="1523" width="14.33203125" style="2" customWidth="1"/>
    <col min="1524" max="1524" width="4" style="2" customWidth="1"/>
    <col min="1525" max="1776" width="7.6640625" style="2" customWidth="1"/>
    <col min="1777" max="1777" width="14.33203125" style="2" customWidth="1"/>
    <col min="1778" max="1778" width="4" style="2" customWidth="1"/>
    <col min="1779" max="1779" width="14.33203125" style="2" customWidth="1"/>
    <col min="1780" max="1780" width="4" style="2" customWidth="1"/>
    <col min="1781" max="2032" width="7.6640625" style="2" customWidth="1"/>
    <col min="2033" max="2033" width="14.33203125" style="2" customWidth="1"/>
    <col min="2034" max="2034" width="4" style="2" customWidth="1"/>
    <col min="2035" max="2035" width="14.33203125" style="2" customWidth="1"/>
    <col min="2036" max="2036" width="4" style="2" customWidth="1"/>
    <col min="2037" max="2288" width="7.6640625" style="2" customWidth="1"/>
    <col min="2289" max="2289" width="14.33203125" style="2" customWidth="1"/>
    <col min="2290" max="2290" width="4" style="2" customWidth="1"/>
    <col min="2291" max="2291" width="14.33203125" style="2" customWidth="1"/>
    <col min="2292" max="2292" width="4" style="2" customWidth="1"/>
    <col min="2293" max="2544" width="7.6640625" style="2" customWidth="1"/>
    <col min="2545" max="2545" width="14.33203125" style="2" customWidth="1"/>
    <col min="2546" max="2546" width="4" style="2" customWidth="1"/>
    <col min="2547" max="2547" width="14.33203125" style="2" customWidth="1"/>
    <col min="2548" max="2548" width="4" style="2" customWidth="1"/>
    <col min="2549" max="2800" width="7.6640625" style="2" customWidth="1"/>
    <col min="2801" max="2801" width="14.33203125" style="2" customWidth="1"/>
    <col min="2802" max="2802" width="4" style="2" customWidth="1"/>
    <col min="2803" max="2803" width="14.33203125" style="2" customWidth="1"/>
    <col min="2804" max="2804" width="4" style="2" customWidth="1"/>
    <col min="2805" max="3056" width="7.6640625" style="2" customWidth="1"/>
    <col min="3057" max="3057" width="14.33203125" style="2" customWidth="1"/>
    <col min="3058" max="3058" width="4" style="2" customWidth="1"/>
    <col min="3059" max="3059" width="14.33203125" style="2" customWidth="1"/>
    <col min="3060" max="3060" width="4" style="2" customWidth="1"/>
    <col min="3061" max="3312" width="7.6640625" style="2" customWidth="1"/>
    <col min="3313" max="3313" width="14.33203125" style="2" customWidth="1"/>
    <col min="3314" max="3314" width="4" style="2" customWidth="1"/>
    <col min="3315" max="3315" width="14.33203125" style="2" customWidth="1"/>
    <col min="3316" max="3316" width="4" style="2" customWidth="1"/>
    <col min="3317" max="3568" width="7.6640625" style="2" customWidth="1"/>
    <col min="3569" max="3569" width="14.33203125" style="2" customWidth="1"/>
    <col min="3570" max="3570" width="4" style="2" customWidth="1"/>
    <col min="3571" max="3571" width="14.33203125" style="2" customWidth="1"/>
    <col min="3572" max="3572" width="4" style="2" customWidth="1"/>
    <col min="3573" max="3824" width="7.6640625" style="2" customWidth="1"/>
    <col min="3825" max="3825" width="14.33203125" style="2" customWidth="1"/>
    <col min="3826" max="3826" width="4" style="2" customWidth="1"/>
    <col min="3827" max="3827" width="14.33203125" style="2" customWidth="1"/>
    <col min="3828" max="3828" width="4" style="2" customWidth="1"/>
    <col min="3829" max="4080" width="7.6640625" style="2" customWidth="1"/>
    <col min="4081" max="4081" width="14.33203125" style="2" customWidth="1"/>
    <col min="4082" max="4082" width="4" style="2" customWidth="1"/>
    <col min="4083" max="4083" width="14.33203125" style="2" customWidth="1"/>
    <col min="4084" max="4084" width="4" style="2" customWidth="1"/>
    <col min="4085" max="4336" width="7.6640625" style="2" customWidth="1"/>
    <col min="4337" max="4337" width="14.33203125" style="2" customWidth="1"/>
    <col min="4338" max="4338" width="4" style="2" customWidth="1"/>
    <col min="4339" max="4339" width="14.33203125" style="2" customWidth="1"/>
    <col min="4340" max="4340" width="4" style="2" customWidth="1"/>
    <col min="4341" max="4592" width="7.6640625" style="2" customWidth="1"/>
    <col min="4593" max="4593" width="14.33203125" style="2" customWidth="1"/>
    <col min="4594" max="4594" width="4" style="2" customWidth="1"/>
    <col min="4595" max="4595" width="14.33203125" style="2" customWidth="1"/>
    <col min="4596" max="4596" width="4" style="2" customWidth="1"/>
    <col min="4597" max="4848" width="7.6640625" style="2" customWidth="1"/>
    <col min="4849" max="4849" width="14.33203125" style="2" customWidth="1"/>
    <col min="4850" max="4850" width="4" style="2" customWidth="1"/>
    <col min="4851" max="4851" width="14.33203125" style="2" customWidth="1"/>
    <col min="4852" max="4852" width="4" style="2" customWidth="1"/>
    <col min="4853" max="5104" width="7.6640625" style="2" customWidth="1"/>
    <col min="5105" max="5105" width="14.33203125" style="2" customWidth="1"/>
    <col min="5106" max="5106" width="4" style="2" customWidth="1"/>
    <col min="5107" max="5107" width="14.33203125" style="2" customWidth="1"/>
    <col min="5108" max="5108" width="4" style="2" customWidth="1"/>
    <col min="5109" max="5360" width="7.6640625" style="2" customWidth="1"/>
    <col min="5361" max="5361" width="14.33203125" style="2" customWidth="1"/>
    <col min="5362" max="5362" width="4" style="2" customWidth="1"/>
    <col min="5363" max="5363" width="14.33203125" style="2" customWidth="1"/>
    <col min="5364" max="5364" width="4" style="2" customWidth="1"/>
    <col min="5365" max="5616" width="7.6640625" style="2" customWidth="1"/>
    <col min="5617" max="5617" width="14.33203125" style="2" customWidth="1"/>
    <col min="5618" max="5618" width="4" style="2" customWidth="1"/>
    <col min="5619" max="5619" width="14.33203125" style="2" customWidth="1"/>
    <col min="5620" max="5620" width="4" style="2" customWidth="1"/>
    <col min="5621" max="5872" width="7.6640625" style="2" customWidth="1"/>
    <col min="5873" max="5873" width="14.33203125" style="2" customWidth="1"/>
    <col min="5874" max="5874" width="4" style="2" customWidth="1"/>
    <col min="5875" max="5875" width="14.33203125" style="2" customWidth="1"/>
    <col min="5876" max="5876" width="4" style="2" customWidth="1"/>
    <col min="5877" max="6128" width="7.6640625" style="2" customWidth="1"/>
    <col min="6129" max="6129" width="14.33203125" style="2" customWidth="1"/>
    <col min="6130" max="6130" width="4" style="2" customWidth="1"/>
    <col min="6131" max="6131" width="14.33203125" style="2" customWidth="1"/>
    <col min="6132" max="6132" width="4" style="2" customWidth="1"/>
    <col min="6133" max="6384" width="7.6640625" style="2" customWidth="1"/>
    <col min="6385" max="6385" width="14.33203125" style="2" customWidth="1"/>
    <col min="6386" max="6386" width="4" style="2" customWidth="1"/>
    <col min="6387" max="6387" width="14.33203125" style="2" customWidth="1"/>
    <col min="6388" max="6388" width="4" style="2" customWidth="1"/>
    <col min="6389" max="6640" width="7.6640625" style="2" customWidth="1"/>
    <col min="6641" max="6641" width="14.33203125" style="2" customWidth="1"/>
    <col min="6642" max="6642" width="4" style="2" customWidth="1"/>
    <col min="6643" max="6643" width="14.33203125" style="2" customWidth="1"/>
    <col min="6644" max="6644" width="4" style="2" customWidth="1"/>
    <col min="6645" max="6896" width="7.6640625" style="2" customWidth="1"/>
    <col min="6897" max="6897" width="14.33203125" style="2" customWidth="1"/>
    <col min="6898" max="6898" width="4" style="2" customWidth="1"/>
    <col min="6899" max="6899" width="14.33203125" style="2" customWidth="1"/>
    <col min="6900" max="6900" width="4" style="2" customWidth="1"/>
    <col min="6901" max="7152" width="7.6640625" style="2" customWidth="1"/>
    <col min="7153" max="7153" width="14.33203125" style="2" customWidth="1"/>
    <col min="7154" max="7154" width="4" style="2" customWidth="1"/>
    <col min="7155" max="7155" width="14.33203125" style="2" customWidth="1"/>
    <col min="7156" max="7156" width="4" style="2" customWidth="1"/>
    <col min="7157" max="7408" width="7.6640625" style="2" customWidth="1"/>
    <col min="7409" max="7409" width="14.33203125" style="2" customWidth="1"/>
    <col min="7410" max="7410" width="4" style="2" customWidth="1"/>
    <col min="7411" max="7411" width="14.33203125" style="2" customWidth="1"/>
    <col min="7412" max="7412" width="4" style="2" customWidth="1"/>
    <col min="7413" max="7664" width="7.6640625" style="2" customWidth="1"/>
    <col min="7665" max="7665" width="14.33203125" style="2" customWidth="1"/>
    <col min="7666" max="7666" width="4" style="2" customWidth="1"/>
    <col min="7667" max="7667" width="14.33203125" style="2" customWidth="1"/>
    <col min="7668" max="7668" width="4" style="2" customWidth="1"/>
    <col min="7669" max="7920" width="7.6640625" style="2" customWidth="1"/>
    <col min="7921" max="7921" width="14.33203125" style="2" customWidth="1"/>
    <col min="7922" max="7922" width="4" style="2" customWidth="1"/>
    <col min="7923" max="7923" width="14.33203125" style="2" customWidth="1"/>
    <col min="7924" max="7924" width="4" style="2" customWidth="1"/>
    <col min="7925" max="8176" width="7.6640625" style="2" customWidth="1"/>
    <col min="8177" max="8177" width="14.33203125" style="2" customWidth="1"/>
    <col min="8178" max="8178" width="4" style="2" customWidth="1"/>
    <col min="8179" max="8179" width="14.33203125" style="2" customWidth="1"/>
    <col min="8180" max="8180" width="4" style="2" customWidth="1"/>
    <col min="8181" max="8432" width="7.6640625" style="2" customWidth="1"/>
    <col min="8433" max="8433" width="14.33203125" style="2" customWidth="1"/>
    <col min="8434" max="8434" width="4" style="2" customWidth="1"/>
    <col min="8435" max="8435" width="14.33203125" style="2" customWidth="1"/>
    <col min="8436" max="8436" width="4" style="2" customWidth="1"/>
    <col min="8437" max="8688" width="7.6640625" style="2" customWidth="1"/>
    <col min="8689" max="8689" width="14.33203125" style="2" customWidth="1"/>
    <col min="8690" max="8690" width="4" style="2" customWidth="1"/>
    <col min="8691" max="8691" width="14.33203125" style="2" customWidth="1"/>
    <col min="8692" max="8692" width="4" style="2" customWidth="1"/>
    <col min="8693" max="8944" width="7.6640625" style="2" customWidth="1"/>
    <col min="8945" max="8945" width="14.33203125" style="2" customWidth="1"/>
    <col min="8946" max="8946" width="4" style="2" customWidth="1"/>
    <col min="8947" max="8947" width="14.33203125" style="2" customWidth="1"/>
    <col min="8948" max="8948" width="4" style="2" customWidth="1"/>
    <col min="8949" max="9200" width="7.6640625" style="2" customWidth="1"/>
    <col min="9201" max="9201" width="14.33203125" style="2" customWidth="1"/>
    <col min="9202" max="9202" width="4" style="2" customWidth="1"/>
    <col min="9203" max="9203" width="14.33203125" style="2" customWidth="1"/>
    <col min="9204" max="9204" width="4" style="2" customWidth="1"/>
    <col min="9205" max="9456" width="7.6640625" style="2" customWidth="1"/>
    <col min="9457" max="9457" width="14.33203125" style="2" customWidth="1"/>
    <col min="9458" max="9458" width="4" style="2" customWidth="1"/>
    <col min="9459" max="9459" width="14.33203125" style="2" customWidth="1"/>
    <col min="9460" max="9460" width="4" style="2" customWidth="1"/>
    <col min="9461" max="9712" width="7.6640625" style="2" customWidth="1"/>
    <col min="9713" max="9713" width="14.33203125" style="2" customWidth="1"/>
    <col min="9714" max="9714" width="4" style="2" customWidth="1"/>
    <col min="9715" max="9715" width="14.33203125" style="2" customWidth="1"/>
    <col min="9716" max="9716" width="4" style="2" customWidth="1"/>
    <col min="9717" max="9968" width="7.6640625" style="2" customWidth="1"/>
    <col min="9969" max="9969" width="14.33203125" style="2" customWidth="1"/>
    <col min="9970" max="9970" width="4" style="2" customWidth="1"/>
    <col min="9971" max="9971" width="14.33203125" style="2" customWidth="1"/>
    <col min="9972" max="9972" width="4" style="2" customWidth="1"/>
    <col min="9973" max="10224" width="7.6640625" style="2" customWidth="1"/>
    <col min="10225" max="10225" width="14.33203125" style="2" customWidth="1"/>
    <col min="10226" max="10226" width="4" style="2" customWidth="1"/>
    <col min="10227" max="10227" width="14.33203125" style="2" customWidth="1"/>
    <col min="10228" max="10228" width="4" style="2" customWidth="1"/>
    <col min="10229" max="10480" width="7.6640625" style="2" customWidth="1"/>
    <col min="10481" max="10481" width="14.33203125" style="2" customWidth="1"/>
    <col min="10482" max="10482" width="4" style="2" customWidth="1"/>
    <col min="10483" max="10483" width="14.33203125" style="2" customWidth="1"/>
    <col min="10484" max="10484" width="4" style="2" customWidth="1"/>
    <col min="10485" max="10736" width="7.6640625" style="2" customWidth="1"/>
    <col min="10737" max="10737" width="14.33203125" style="2" customWidth="1"/>
    <col min="10738" max="10738" width="4" style="2" customWidth="1"/>
    <col min="10739" max="10739" width="14.33203125" style="2" customWidth="1"/>
    <col min="10740" max="10740" width="4" style="2" customWidth="1"/>
    <col min="10741" max="10992" width="7.6640625" style="2" customWidth="1"/>
    <col min="10993" max="10993" width="14.33203125" style="2" customWidth="1"/>
    <col min="10994" max="10994" width="4" style="2" customWidth="1"/>
    <col min="10995" max="10995" width="14.33203125" style="2" customWidth="1"/>
    <col min="10996" max="10996" width="4" style="2" customWidth="1"/>
    <col min="10997" max="11248" width="7.6640625" style="2" customWidth="1"/>
    <col min="11249" max="11249" width="14.33203125" style="2" customWidth="1"/>
    <col min="11250" max="11250" width="4" style="2" customWidth="1"/>
    <col min="11251" max="11251" width="14.33203125" style="2" customWidth="1"/>
    <col min="11252" max="11252" width="4" style="2" customWidth="1"/>
    <col min="11253" max="11504" width="7.6640625" style="2" customWidth="1"/>
    <col min="11505" max="11505" width="14.33203125" style="2" customWidth="1"/>
    <col min="11506" max="11506" width="4" style="2" customWidth="1"/>
    <col min="11507" max="11507" width="14.33203125" style="2" customWidth="1"/>
    <col min="11508" max="11508" width="4" style="2" customWidth="1"/>
    <col min="11509" max="11760" width="7.6640625" style="2" customWidth="1"/>
    <col min="11761" max="11761" width="14.33203125" style="2" customWidth="1"/>
    <col min="11762" max="11762" width="4" style="2" customWidth="1"/>
    <col min="11763" max="11763" width="14.33203125" style="2" customWidth="1"/>
    <col min="11764" max="11764" width="4" style="2" customWidth="1"/>
    <col min="11765" max="12016" width="7.6640625" style="2" customWidth="1"/>
    <col min="12017" max="12017" width="14.33203125" style="2" customWidth="1"/>
    <col min="12018" max="12018" width="4" style="2" customWidth="1"/>
    <col min="12019" max="12019" width="14.33203125" style="2" customWidth="1"/>
    <col min="12020" max="12020" width="4" style="2" customWidth="1"/>
    <col min="12021" max="12272" width="7.6640625" style="2" customWidth="1"/>
    <col min="12273" max="12273" width="14.33203125" style="2" customWidth="1"/>
    <col min="12274" max="12274" width="4" style="2" customWidth="1"/>
    <col min="12275" max="12275" width="14.33203125" style="2" customWidth="1"/>
    <col min="12276" max="12276" width="4" style="2" customWidth="1"/>
    <col min="12277" max="12528" width="7.6640625" style="2" customWidth="1"/>
    <col min="12529" max="12529" width="14.33203125" style="2" customWidth="1"/>
    <col min="12530" max="12530" width="4" style="2" customWidth="1"/>
    <col min="12531" max="12531" width="14.33203125" style="2" customWidth="1"/>
    <col min="12532" max="12532" width="4" style="2" customWidth="1"/>
    <col min="12533" max="12784" width="7.6640625" style="2" customWidth="1"/>
    <col min="12785" max="12785" width="14.33203125" style="2" customWidth="1"/>
    <col min="12786" max="12786" width="4" style="2" customWidth="1"/>
    <col min="12787" max="12787" width="14.33203125" style="2" customWidth="1"/>
    <col min="12788" max="12788" width="4" style="2" customWidth="1"/>
    <col min="12789" max="13040" width="7.6640625" style="2" customWidth="1"/>
    <col min="13041" max="13041" width="14.33203125" style="2" customWidth="1"/>
    <col min="13042" max="13042" width="4" style="2" customWidth="1"/>
    <col min="13043" max="13043" width="14.33203125" style="2" customWidth="1"/>
    <col min="13044" max="13044" width="4" style="2" customWidth="1"/>
    <col min="13045" max="13296" width="7.6640625" style="2" customWidth="1"/>
    <col min="13297" max="13297" width="14.33203125" style="2" customWidth="1"/>
    <col min="13298" max="13298" width="4" style="2" customWidth="1"/>
    <col min="13299" max="13299" width="14.33203125" style="2" customWidth="1"/>
    <col min="13300" max="13300" width="4" style="2" customWidth="1"/>
    <col min="13301" max="13552" width="7.6640625" style="2" customWidth="1"/>
    <col min="13553" max="13553" width="14.33203125" style="2" customWidth="1"/>
    <col min="13554" max="13554" width="4" style="2" customWidth="1"/>
    <col min="13555" max="13555" width="14.33203125" style="2" customWidth="1"/>
    <col min="13556" max="13556" width="4" style="2" customWidth="1"/>
    <col min="13557" max="13808" width="7.6640625" style="2" customWidth="1"/>
    <col min="13809" max="13809" width="14.33203125" style="2" customWidth="1"/>
    <col min="13810" max="13810" width="4" style="2" customWidth="1"/>
    <col min="13811" max="13811" width="14.33203125" style="2" customWidth="1"/>
    <col min="13812" max="13812" width="4" style="2" customWidth="1"/>
    <col min="13813" max="14064" width="7.6640625" style="2" customWidth="1"/>
    <col min="14065" max="14065" width="14.33203125" style="2" customWidth="1"/>
    <col min="14066" max="14066" width="4" style="2" customWidth="1"/>
    <col min="14067" max="14067" width="14.33203125" style="2" customWidth="1"/>
    <col min="14068" max="14068" width="4" style="2" customWidth="1"/>
    <col min="14069" max="14320" width="7.6640625" style="2" customWidth="1"/>
    <col min="14321" max="14321" width="14.33203125" style="2" customWidth="1"/>
    <col min="14322" max="14322" width="4" style="2" customWidth="1"/>
    <col min="14323" max="14323" width="14.33203125" style="2" customWidth="1"/>
    <col min="14324" max="14324" width="4" style="2" customWidth="1"/>
    <col min="14325" max="14576" width="7.6640625" style="2" customWidth="1"/>
    <col min="14577" max="14577" width="14.33203125" style="2" customWidth="1"/>
    <col min="14578" max="14578" width="4" style="2" customWidth="1"/>
    <col min="14579" max="14579" width="14.33203125" style="2" customWidth="1"/>
    <col min="14580" max="14580" width="4" style="2" customWidth="1"/>
    <col min="14581" max="14832" width="7.6640625" style="2" customWidth="1"/>
    <col min="14833" max="14833" width="14.33203125" style="2" customWidth="1"/>
    <col min="14834" max="14834" width="4" style="2" customWidth="1"/>
    <col min="14835" max="14835" width="14.33203125" style="2" customWidth="1"/>
    <col min="14836" max="14836" width="4" style="2" customWidth="1"/>
    <col min="14837" max="15088" width="7.6640625" style="2" customWidth="1"/>
    <col min="15089" max="15089" width="14.33203125" style="2" customWidth="1"/>
    <col min="15090" max="15090" width="4" style="2" customWidth="1"/>
    <col min="15091" max="15091" width="14.33203125" style="2" customWidth="1"/>
    <col min="15092" max="15092" width="4" style="2" customWidth="1"/>
    <col min="15093" max="15344" width="7.6640625" style="2" customWidth="1"/>
    <col min="15345" max="15345" width="14.33203125" style="2" customWidth="1"/>
    <col min="15346" max="15346" width="4" style="2" customWidth="1"/>
    <col min="15347" max="15347" width="14.33203125" style="2" customWidth="1"/>
    <col min="15348" max="15348" width="4" style="2" customWidth="1"/>
    <col min="15349" max="15600" width="7.6640625" style="2" customWidth="1"/>
    <col min="15601" max="15601" width="14.33203125" style="2" customWidth="1"/>
    <col min="15602" max="15602" width="4" style="2" customWidth="1"/>
    <col min="15603" max="15603" width="14.33203125" style="2" customWidth="1"/>
    <col min="15604" max="15604" width="4" style="2" customWidth="1"/>
    <col min="15605" max="15856" width="7.6640625" style="2" customWidth="1"/>
    <col min="15857" max="15857" width="14.33203125" style="2" customWidth="1"/>
    <col min="15858" max="15858" width="4" style="2" customWidth="1"/>
    <col min="15859" max="15859" width="14.33203125" style="2" customWidth="1"/>
    <col min="15860" max="15860" width="4" style="2" customWidth="1"/>
    <col min="15861" max="16112" width="7.6640625" style="2" customWidth="1"/>
    <col min="16113" max="16113" width="14.33203125" style="2" customWidth="1"/>
    <col min="16114" max="16114" width="4" style="2" customWidth="1"/>
    <col min="16115" max="16115" width="14.33203125" style="2" customWidth="1"/>
    <col min="16116" max="16116" width="4" style="2" customWidth="1"/>
    <col min="16117" max="16384" width="7.6640625" style="2" customWidth="1"/>
  </cols>
  <sheetData>
    <row r="1" spans="1:11" ht="15" customHeight="1" x14ac:dyDescent="0.3">
      <c r="A1" s="85"/>
      <c r="B1" s="85"/>
      <c r="C1" s="1"/>
      <c r="D1" s="1"/>
      <c r="E1" s="1"/>
      <c r="F1" s="1"/>
      <c r="G1" s="1"/>
      <c r="H1" s="1"/>
      <c r="I1" s="1"/>
      <c r="J1" s="1"/>
      <c r="K1" s="1"/>
    </row>
    <row r="2" spans="1:11" ht="15" customHeight="1" x14ac:dyDescent="0.3">
      <c r="A2" s="3"/>
      <c r="B2" s="589" t="s">
        <v>8</v>
      </c>
      <c r="C2" s="3"/>
      <c r="D2" s="3"/>
      <c r="E2" s="3"/>
      <c r="F2" s="3"/>
      <c r="G2" s="3"/>
      <c r="H2" s="3"/>
      <c r="I2" s="3"/>
      <c r="J2" s="3"/>
      <c r="K2" s="3"/>
    </row>
    <row r="3" spans="1:11" ht="15" customHeight="1" x14ac:dyDescent="0.3">
      <c r="A3" s="3"/>
      <c r="B3" s="615" t="s">
        <v>321</v>
      </c>
      <c r="C3" s="3"/>
      <c r="D3" s="3"/>
      <c r="E3" s="3"/>
      <c r="F3" s="3"/>
      <c r="G3" s="3"/>
      <c r="H3" s="3"/>
      <c r="I3" s="3"/>
      <c r="J3" s="3"/>
      <c r="K3" s="3"/>
    </row>
    <row r="4" spans="1:11" ht="15" customHeight="1" x14ac:dyDescent="0.3">
      <c r="A4" s="3"/>
      <c r="B4" s="594" t="str">
        <f>Overview!$B$7</f>
        <v>Grove Park Drive</v>
      </c>
      <c r="C4" s="3"/>
      <c r="D4" s="3"/>
      <c r="E4" s="3"/>
      <c r="F4" s="3"/>
      <c r="G4" s="3"/>
      <c r="H4" s="3"/>
      <c r="I4" s="3"/>
      <c r="J4" s="3"/>
      <c r="K4" s="3"/>
    </row>
    <row r="5" spans="1:11" ht="15" customHeight="1" thickBot="1" x14ac:dyDescent="0.35">
      <c r="A5" s="3"/>
      <c r="B5" s="3"/>
      <c r="C5" s="199"/>
      <c r="D5" s="3"/>
      <c r="E5" s="3"/>
      <c r="F5" s="3"/>
      <c r="G5" s="3"/>
      <c r="H5" s="3"/>
      <c r="I5" s="3"/>
      <c r="J5" s="3"/>
      <c r="K5" s="3"/>
    </row>
    <row r="6" spans="1:11" ht="15" customHeight="1" x14ac:dyDescent="0.3">
      <c r="A6" s="3"/>
      <c r="B6" s="3"/>
      <c r="C6" s="1086" t="s">
        <v>66</v>
      </c>
      <c r="D6" s="1081" t="s">
        <v>54</v>
      </c>
      <c r="E6" s="1081" t="s">
        <v>53</v>
      </c>
      <c r="F6" s="1078" t="s">
        <v>67</v>
      </c>
      <c r="G6" s="1071" t="s">
        <v>54</v>
      </c>
      <c r="H6" s="1074" t="s">
        <v>112</v>
      </c>
      <c r="I6" s="1075"/>
      <c r="J6" s="3"/>
      <c r="K6" s="3"/>
    </row>
    <row r="7" spans="1:11" ht="15" customHeight="1" x14ac:dyDescent="0.3">
      <c r="A7" s="3"/>
      <c r="B7" s="3"/>
      <c r="C7" s="1087"/>
      <c r="D7" s="1082"/>
      <c r="E7" s="1082"/>
      <c r="F7" s="1079"/>
      <c r="G7" s="1072"/>
      <c r="H7" s="1084" t="s">
        <v>52</v>
      </c>
      <c r="I7" s="1076" t="s">
        <v>68</v>
      </c>
      <c r="J7" s="3"/>
      <c r="K7" s="3"/>
    </row>
    <row r="8" spans="1:11" ht="15" customHeight="1" thickBot="1" x14ac:dyDescent="0.35">
      <c r="A8" s="3"/>
      <c r="B8" s="3"/>
      <c r="C8" s="1088"/>
      <c r="D8" s="1083"/>
      <c r="E8" s="1083"/>
      <c r="F8" s="1080"/>
      <c r="G8" s="1073"/>
      <c r="H8" s="1085"/>
      <c r="I8" s="1077"/>
      <c r="J8" s="3"/>
      <c r="K8" s="3"/>
    </row>
    <row r="9" spans="1:11" ht="15" customHeight="1" x14ac:dyDescent="0.3">
      <c r="A9" s="3"/>
      <c r="B9" s="3"/>
      <c r="C9" s="620" t="s">
        <v>145</v>
      </c>
      <c r="D9" s="45"/>
      <c r="E9" s="45"/>
      <c r="F9" s="45"/>
      <c r="G9" s="44"/>
      <c r="H9" s="49"/>
      <c r="I9" s="46"/>
      <c r="J9" s="3"/>
      <c r="K9" s="3"/>
    </row>
    <row r="10" spans="1:11" ht="15" customHeight="1" x14ac:dyDescent="0.3">
      <c r="A10" s="3"/>
      <c r="B10" s="3"/>
      <c r="C10" s="35" t="s">
        <v>69</v>
      </c>
      <c r="D10" s="36" t="s">
        <v>70</v>
      </c>
      <c r="E10" s="98">
        <f>'Scheme Entry - Baseline'!W15</f>
        <v>25</v>
      </c>
      <c r="F10" s="94"/>
      <c r="G10" s="51" t="s">
        <v>316</v>
      </c>
      <c r="H10" s="510">
        <f>'Capital Expenditure'!E10</f>
        <v>1607.1428571428571</v>
      </c>
      <c r="I10" s="89">
        <f>E10*H10</f>
        <v>40178.571428571428</v>
      </c>
      <c r="J10" s="3"/>
      <c r="K10" s="3"/>
    </row>
    <row r="11" spans="1:11" ht="15" customHeight="1" x14ac:dyDescent="0.3">
      <c r="A11" s="3"/>
      <c r="B11" s="3"/>
      <c r="C11" s="37" t="s">
        <v>494</v>
      </c>
      <c r="D11" s="38" t="s">
        <v>71</v>
      </c>
      <c r="E11" s="99">
        <f>'Scheme Entry - Baseline'!W21</f>
        <v>0</v>
      </c>
      <c r="F11" s="50">
        <v>0.54</v>
      </c>
      <c r="G11" s="52" t="s">
        <v>72</v>
      </c>
      <c r="H11" s="47">
        <f>'Energy Calculations'!E20</f>
        <v>1126767.8571428573</v>
      </c>
      <c r="I11" s="492">
        <f>(E11*H11*F11)/1000</f>
        <v>0</v>
      </c>
      <c r="J11" s="3"/>
      <c r="K11" s="3"/>
    </row>
    <row r="12" spans="1:11" ht="15" customHeight="1" x14ac:dyDescent="0.3">
      <c r="A12" s="3"/>
      <c r="B12" s="3"/>
      <c r="C12" s="43" t="s">
        <v>73</v>
      </c>
      <c r="D12" s="92"/>
      <c r="E12" s="92"/>
      <c r="F12" s="93"/>
      <c r="G12" s="95"/>
      <c r="H12" s="96"/>
      <c r="I12" s="147">
        <f>'Energy Calculations'!M15</f>
        <v>184348.68194364052</v>
      </c>
      <c r="J12" s="3"/>
      <c r="K12" s="3"/>
    </row>
    <row r="13" spans="1:11" ht="15" customHeight="1" thickBot="1" x14ac:dyDescent="0.35">
      <c r="A13" s="3"/>
      <c r="B13" s="3"/>
      <c r="C13" s="40"/>
      <c r="D13" s="39"/>
      <c r="E13" s="39"/>
      <c r="F13" s="48"/>
      <c r="G13" s="1069" t="s">
        <v>75</v>
      </c>
      <c r="H13" s="1070"/>
      <c r="I13" s="97">
        <f>SUM(I10:I12)</f>
        <v>224527.25337221194</v>
      </c>
      <c r="J13" s="3"/>
      <c r="K13" s="3"/>
    </row>
    <row r="14" spans="1:11" ht="15" customHeight="1" x14ac:dyDescent="0.3">
      <c r="A14" s="3"/>
      <c r="B14" s="3"/>
      <c r="C14" s="491"/>
      <c r="D14" s="491"/>
      <c r="E14" s="491"/>
      <c r="F14" s="491"/>
      <c r="G14" s="491"/>
      <c r="H14" s="491"/>
      <c r="I14" s="491"/>
      <c r="J14" s="3"/>
      <c r="K14" s="3"/>
    </row>
    <row r="15" spans="1:11" ht="15" customHeight="1" x14ac:dyDescent="0.3">
      <c r="A15" s="3"/>
      <c r="B15" s="3"/>
      <c r="C15" s="31"/>
      <c r="D15" s="31"/>
      <c r="E15" s="31"/>
      <c r="F15" s="31"/>
      <c r="G15" s="31"/>
      <c r="H15" s="31"/>
      <c r="I15" s="31"/>
      <c r="J15" s="3"/>
      <c r="K15" s="3"/>
    </row>
    <row r="16" spans="1:11" ht="15" customHeight="1" x14ac:dyDescent="0.3">
      <c r="A16" s="3"/>
      <c r="B16" s="3"/>
      <c r="C16" s="31"/>
      <c r="D16" s="31"/>
      <c r="E16" s="31"/>
      <c r="F16" s="31"/>
      <c r="G16" s="31"/>
      <c r="H16" s="31"/>
      <c r="I16" s="31"/>
      <c r="J16" s="3"/>
      <c r="K16" s="3"/>
    </row>
    <row r="17" spans="1:11" ht="15" customHeight="1" x14ac:dyDescent="0.3">
      <c r="A17" s="3"/>
      <c r="B17" s="3"/>
      <c r="C17" s="31"/>
      <c r="D17" s="31"/>
      <c r="E17" s="31"/>
      <c r="F17" s="31"/>
      <c r="G17" s="31"/>
      <c r="H17" s="31"/>
      <c r="I17" s="31"/>
      <c r="J17" s="3"/>
      <c r="K17" s="3"/>
    </row>
    <row r="18" spans="1:11" ht="15" customHeight="1" x14ac:dyDescent="0.3">
      <c r="A18" s="3"/>
      <c r="B18" s="3"/>
      <c r="C18" s="31"/>
      <c r="D18" s="31"/>
      <c r="E18" s="31"/>
      <c r="F18" s="31"/>
      <c r="G18" s="31"/>
      <c r="H18" s="31"/>
      <c r="I18" s="31"/>
      <c r="J18" s="3"/>
      <c r="K18" s="3"/>
    </row>
    <row r="19" spans="1:11" ht="15" customHeight="1" x14ac:dyDescent="0.3">
      <c r="A19" s="3"/>
      <c r="B19" s="3"/>
      <c r="C19" s="31"/>
      <c r="D19" s="31"/>
      <c r="E19" s="31"/>
      <c r="F19" s="31"/>
      <c r="G19" s="31"/>
      <c r="H19" s="31"/>
      <c r="I19" s="31"/>
      <c r="J19" s="3"/>
      <c r="K19" s="3"/>
    </row>
    <row r="20" spans="1:11" ht="15" customHeight="1" x14ac:dyDescent="0.3">
      <c r="A20" s="3"/>
      <c r="B20" s="3"/>
      <c r="C20" s="31"/>
      <c r="D20" s="31"/>
      <c r="E20" s="31"/>
      <c r="F20" s="31"/>
      <c r="G20" s="31"/>
      <c r="H20" s="31"/>
      <c r="I20" s="31"/>
      <c r="J20" s="3"/>
      <c r="K20" s="3"/>
    </row>
    <row r="21" spans="1:11" ht="15" customHeight="1" x14ac:dyDescent="0.3">
      <c r="A21" s="3"/>
      <c r="B21" s="3"/>
      <c r="C21" s="31"/>
      <c r="D21" s="31"/>
      <c r="E21" s="31"/>
      <c r="F21" s="31"/>
      <c r="G21" s="31"/>
      <c r="H21" s="31"/>
      <c r="I21" s="31"/>
      <c r="J21" s="3"/>
      <c r="K21" s="3"/>
    </row>
    <row r="22" spans="1:11" ht="15" customHeight="1" x14ac:dyDescent="0.3">
      <c r="A22" s="3"/>
      <c r="B22" s="3"/>
      <c r="C22" s="31"/>
      <c r="D22" s="31"/>
      <c r="E22" s="31"/>
      <c r="F22" s="31"/>
      <c r="G22" s="31"/>
      <c r="H22" s="31"/>
      <c r="I22" s="31"/>
      <c r="J22" s="3"/>
      <c r="K22" s="3"/>
    </row>
    <row r="23" spans="1:11" ht="15" customHeight="1" x14ac:dyDescent="0.3">
      <c r="A23" s="3"/>
      <c r="B23" s="3"/>
      <c r="C23" s="31"/>
      <c r="D23" s="31"/>
      <c r="E23" s="31"/>
      <c r="F23" s="31"/>
      <c r="G23" s="31"/>
      <c r="H23" s="31"/>
      <c r="I23" s="31"/>
      <c r="J23" s="3"/>
      <c r="K23" s="3"/>
    </row>
    <row r="24" spans="1:11" ht="15" customHeight="1" x14ac:dyDescent="0.3">
      <c r="A24" s="3"/>
      <c r="B24" s="3"/>
      <c r="C24" s="31"/>
      <c r="D24" s="31"/>
      <c r="E24" s="31"/>
      <c r="F24" s="31"/>
      <c r="G24" s="31"/>
      <c r="H24" s="31"/>
      <c r="I24" s="31"/>
      <c r="J24" s="3"/>
      <c r="K24" s="3"/>
    </row>
    <row r="25" spans="1:11" ht="15" customHeight="1" x14ac:dyDescent="0.3">
      <c r="A25" s="3"/>
      <c r="B25" s="3"/>
      <c r="C25" s="31"/>
      <c r="D25" s="31"/>
      <c r="E25" s="31"/>
      <c r="F25" s="31"/>
      <c r="G25" s="31"/>
      <c r="H25" s="31"/>
      <c r="I25" s="31"/>
      <c r="J25" s="3"/>
      <c r="K25" s="3"/>
    </row>
    <row r="26" spans="1:11" ht="15" customHeight="1" x14ac:dyDescent="0.3">
      <c r="A26" s="3"/>
      <c r="B26" s="3"/>
      <c r="C26" s="31"/>
      <c r="D26" s="31"/>
      <c r="E26" s="31"/>
      <c r="F26" s="31"/>
      <c r="G26" s="31"/>
      <c r="H26" s="31"/>
      <c r="I26" s="31"/>
      <c r="J26" s="3"/>
      <c r="K26" s="3"/>
    </row>
    <row r="27" spans="1:11" ht="15" customHeight="1" x14ac:dyDescent="0.3">
      <c r="A27" s="3"/>
      <c r="B27" s="3"/>
      <c r="C27" s="31"/>
      <c r="D27" s="31"/>
      <c r="E27" s="31"/>
      <c r="F27" s="31"/>
      <c r="G27" s="31"/>
      <c r="H27" s="31"/>
      <c r="I27" s="31"/>
      <c r="J27" s="3"/>
      <c r="K27" s="3"/>
    </row>
    <row r="28" spans="1:11" ht="15" customHeight="1" x14ac:dyDescent="0.3">
      <c r="A28" s="3"/>
      <c r="B28" s="3"/>
      <c r="C28" s="31"/>
      <c r="D28" s="31"/>
      <c r="E28" s="31"/>
      <c r="F28" s="31"/>
      <c r="G28" s="31"/>
      <c r="H28" s="31"/>
      <c r="I28" s="31"/>
      <c r="J28" s="3"/>
      <c r="K28" s="3"/>
    </row>
    <row r="29" spans="1:11" ht="15" customHeight="1" x14ac:dyDescent="0.3">
      <c r="A29" s="3"/>
      <c r="B29" s="3"/>
      <c r="C29" s="31"/>
      <c r="D29" s="31"/>
      <c r="E29" s="31"/>
      <c r="F29" s="31"/>
      <c r="G29" s="31"/>
      <c r="H29" s="31"/>
      <c r="I29" s="31"/>
      <c r="J29" s="3"/>
      <c r="K29" s="3"/>
    </row>
    <row r="30" spans="1:11" ht="15" customHeight="1" x14ac:dyDescent="0.3">
      <c r="A30" s="3"/>
      <c r="B30" s="3"/>
      <c r="C30" s="31"/>
      <c r="D30" s="31"/>
      <c r="E30" s="31"/>
      <c r="F30" s="31"/>
      <c r="G30" s="31"/>
      <c r="H30" s="31"/>
      <c r="I30" s="31"/>
      <c r="J30" s="3"/>
      <c r="K30" s="3"/>
    </row>
    <row r="31" spans="1:11" ht="15" customHeight="1" x14ac:dyDescent="0.3">
      <c r="A31" s="3"/>
      <c r="B31" s="3"/>
      <c r="C31" s="31"/>
      <c r="D31" s="31"/>
      <c r="E31" s="31"/>
      <c r="F31" s="31"/>
      <c r="G31" s="31"/>
      <c r="H31" s="31"/>
      <c r="I31" s="31"/>
      <c r="J31" s="3"/>
      <c r="K31" s="3"/>
    </row>
    <row r="32" spans="1:11" ht="15" customHeight="1" x14ac:dyDescent="0.3">
      <c r="A32" s="15"/>
      <c r="B32" s="15"/>
      <c r="C32" s="45"/>
      <c r="D32" s="45"/>
      <c r="E32" s="45"/>
      <c r="F32" s="45"/>
      <c r="G32" s="45"/>
      <c r="H32" s="45"/>
      <c r="I32" s="45"/>
      <c r="J32" s="15"/>
      <c r="K32" s="15"/>
    </row>
    <row r="33" spans="1:11" ht="6.6" customHeight="1" thickBot="1" x14ac:dyDescent="0.35">
      <c r="A33" s="1"/>
      <c r="B33" s="1"/>
      <c r="C33" s="619"/>
      <c r="D33" s="619"/>
      <c r="E33" s="619"/>
      <c r="F33" s="619"/>
      <c r="G33" s="619"/>
      <c r="H33" s="619"/>
      <c r="I33" s="619"/>
      <c r="J33" s="1"/>
      <c r="K33" s="1"/>
    </row>
    <row r="34" spans="1:11" s="606" customFormat="1" ht="24" x14ac:dyDescent="0.3">
      <c r="A34" s="149"/>
      <c r="B34" s="1062" t="s">
        <v>95</v>
      </c>
      <c r="C34" s="1067" t="s">
        <v>182</v>
      </c>
      <c r="D34" s="621" t="s">
        <v>186</v>
      </c>
      <c r="E34" s="622" t="s">
        <v>181</v>
      </c>
      <c r="F34" s="1064" t="s">
        <v>184</v>
      </c>
      <c r="G34" s="1065"/>
      <c r="H34" s="1065"/>
      <c r="I34" s="1065"/>
      <c r="J34" s="1066"/>
      <c r="K34" s="149"/>
    </row>
    <row r="35" spans="1:11" s="606" customFormat="1" ht="13.95" customHeight="1" thickBot="1" x14ac:dyDescent="0.35">
      <c r="A35" s="149"/>
      <c r="B35" s="1063"/>
      <c r="C35" s="1068"/>
      <c r="D35" s="623">
        <f>'Scheme Entry - Baseline'!$O$5</f>
        <v>2.4E-2</v>
      </c>
      <c r="E35" s="624">
        <f>'Scheme Entry - Baseline'!$L$5</f>
        <v>0.05</v>
      </c>
      <c r="F35" s="625">
        <v>1</v>
      </c>
      <c r="G35" s="626">
        <v>5</v>
      </c>
      <c r="H35" s="626">
        <v>10</v>
      </c>
      <c r="I35" s="626">
        <v>20</v>
      </c>
      <c r="J35" s="627">
        <v>30</v>
      </c>
      <c r="K35" s="149"/>
    </row>
    <row r="36" spans="1:11" s="606" customFormat="1" ht="13.95" customHeight="1" x14ac:dyDescent="0.3">
      <c r="A36" s="149"/>
      <c r="B36" s="628">
        <v>2011</v>
      </c>
      <c r="C36" s="629">
        <v>1</v>
      </c>
      <c r="D36" s="630">
        <v>1</v>
      </c>
      <c r="E36" s="631">
        <v>1</v>
      </c>
      <c r="F36" s="632">
        <f t="shared" ref="F36:F65" si="0">D36*E36</f>
        <v>1</v>
      </c>
      <c r="G36" s="633">
        <f>F36</f>
        <v>1</v>
      </c>
      <c r="H36" s="633">
        <f t="shared" ref="H36:H45" si="1">F36</f>
        <v>1</v>
      </c>
      <c r="I36" s="633">
        <f t="shared" ref="I36:I55" si="2">F36</f>
        <v>1</v>
      </c>
      <c r="J36" s="634">
        <f t="shared" ref="J36:J65" si="3">F36</f>
        <v>1</v>
      </c>
      <c r="K36" s="149"/>
    </row>
    <row r="37" spans="1:11" s="606" customFormat="1" ht="13.95" customHeight="1" x14ac:dyDescent="0.3">
      <c r="A37" s="149"/>
      <c r="B37" s="635">
        <v>2012</v>
      </c>
      <c r="C37" s="636">
        <v>2</v>
      </c>
      <c r="D37" s="637">
        <f t="shared" ref="D37:D65" si="4">(1+$D$35)^C36</f>
        <v>1.024</v>
      </c>
      <c r="E37" s="638">
        <f t="shared" ref="E37:E65" si="5">1/(1+$E$35)^C36</f>
        <v>0.95238095238095233</v>
      </c>
      <c r="F37" s="639">
        <f t="shared" si="0"/>
        <v>0.97523809523809524</v>
      </c>
      <c r="G37" s="640">
        <f>F37</f>
        <v>0.97523809523809524</v>
      </c>
      <c r="H37" s="640">
        <f t="shared" si="1"/>
        <v>0.97523809523809524</v>
      </c>
      <c r="I37" s="640">
        <f t="shared" si="2"/>
        <v>0.97523809523809524</v>
      </c>
      <c r="J37" s="641">
        <f t="shared" si="3"/>
        <v>0.97523809523809524</v>
      </c>
      <c r="K37" s="149"/>
    </row>
    <row r="38" spans="1:11" s="606" customFormat="1" ht="13.95" customHeight="1" x14ac:dyDescent="0.3">
      <c r="A38" s="149"/>
      <c r="B38" s="635">
        <v>2013</v>
      </c>
      <c r="C38" s="636">
        <v>3</v>
      </c>
      <c r="D38" s="637">
        <f t="shared" si="4"/>
        <v>1.048576</v>
      </c>
      <c r="E38" s="638">
        <f t="shared" si="5"/>
        <v>0.90702947845804982</v>
      </c>
      <c r="F38" s="639">
        <f t="shared" si="0"/>
        <v>0.95108934240362797</v>
      </c>
      <c r="G38" s="640">
        <f>F38</f>
        <v>0.95108934240362797</v>
      </c>
      <c r="H38" s="640">
        <f t="shared" si="1"/>
        <v>0.95108934240362797</v>
      </c>
      <c r="I38" s="640">
        <f t="shared" si="2"/>
        <v>0.95108934240362797</v>
      </c>
      <c r="J38" s="641">
        <f t="shared" si="3"/>
        <v>0.95108934240362797</v>
      </c>
      <c r="K38" s="149"/>
    </row>
    <row r="39" spans="1:11" s="606" customFormat="1" ht="13.95" customHeight="1" x14ac:dyDescent="0.3">
      <c r="A39" s="149"/>
      <c r="B39" s="635">
        <v>2014</v>
      </c>
      <c r="C39" s="636">
        <v>4</v>
      </c>
      <c r="D39" s="637">
        <f t="shared" si="4"/>
        <v>1.0737418240000001</v>
      </c>
      <c r="E39" s="638">
        <f t="shared" si="5"/>
        <v>0.86383759853147601</v>
      </c>
      <c r="F39" s="639">
        <f t="shared" si="0"/>
        <v>0.92753855868696689</v>
      </c>
      <c r="G39" s="640">
        <f>F39</f>
        <v>0.92753855868696689</v>
      </c>
      <c r="H39" s="640">
        <f t="shared" si="1"/>
        <v>0.92753855868696689</v>
      </c>
      <c r="I39" s="640">
        <f t="shared" si="2"/>
        <v>0.92753855868696689</v>
      </c>
      <c r="J39" s="641">
        <f t="shared" si="3"/>
        <v>0.92753855868696689</v>
      </c>
      <c r="K39" s="149"/>
    </row>
    <row r="40" spans="1:11" s="606" customFormat="1" ht="13.95" customHeight="1" x14ac:dyDescent="0.3">
      <c r="A40" s="149"/>
      <c r="B40" s="642">
        <v>2015</v>
      </c>
      <c r="C40" s="643">
        <v>5</v>
      </c>
      <c r="D40" s="644">
        <f t="shared" si="4"/>
        <v>1.099511627776</v>
      </c>
      <c r="E40" s="645">
        <f t="shared" si="5"/>
        <v>0.82270247479188197</v>
      </c>
      <c r="F40" s="646">
        <f t="shared" si="0"/>
        <v>0.90457093723376569</v>
      </c>
      <c r="G40" s="647">
        <f>F40</f>
        <v>0.90457093723376569</v>
      </c>
      <c r="H40" s="647">
        <f t="shared" si="1"/>
        <v>0.90457093723376569</v>
      </c>
      <c r="I40" s="647">
        <f t="shared" si="2"/>
        <v>0.90457093723376569</v>
      </c>
      <c r="J40" s="648">
        <f t="shared" si="3"/>
        <v>0.90457093723376569</v>
      </c>
      <c r="K40" s="149"/>
    </row>
    <row r="41" spans="1:11" s="606" customFormat="1" ht="13.95" customHeight="1" x14ac:dyDescent="0.3">
      <c r="A41" s="149"/>
      <c r="B41" s="649">
        <v>2016</v>
      </c>
      <c r="C41" s="650">
        <v>6</v>
      </c>
      <c r="D41" s="651">
        <f t="shared" si="4"/>
        <v>1.1258999068426241</v>
      </c>
      <c r="E41" s="652">
        <f t="shared" si="5"/>
        <v>0.78352616646845896</v>
      </c>
      <c r="F41" s="653">
        <f t="shared" si="0"/>
        <v>0.88217203783559628</v>
      </c>
      <c r="G41" s="654"/>
      <c r="H41" s="640">
        <f t="shared" si="1"/>
        <v>0.88217203783559628</v>
      </c>
      <c r="I41" s="640">
        <f t="shared" si="2"/>
        <v>0.88217203783559628</v>
      </c>
      <c r="J41" s="641">
        <f t="shared" si="3"/>
        <v>0.88217203783559628</v>
      </c>
      <c r="K41" s="149"/>
    </row>
    <row r="42" spans="1:11" s="606" customFormat="1" ht="13.95" customHeight="1" x14ac:dyDescent="0.3">
      <c r="A42" s="149"/>
      <c r="B42" s="635">
        <v>2017</v>
      </c>
      <c r="C42" s="636">
        <v>7</v>
      </c>
      <c r="D42" s="637">
        <f t="shared" si="4"/>
        <v>1.1529215046068468</v>
      </c>
      <c r="E42" s="638">
        <f t="shared" si="5"/>
        <v>0.74621539663662761</v>
      </c>
      <c r="F42" s="639">
        <f t="shared" si="0"/>
        <v>0.86032777785109571</v>
      </c>
      <c r="G42" s="655"/>
      <c r="H42" s="640">
        <f t="shared" si="1"/>
        <v>0.86032777785109571</v>
      </c>
      <c r="I42" s="640">
        <f t="shared" si="2"/>
        <v>0.86032777785109571</v>
      </c>
      <c r="J42" s="641">
        <f t="shared" si="3"/>
        <v>0.86032777785109571</v>
      </c>
      <c r="K42" s="149"/>
    </row>
    <row r="43" spans="1:11" s="606" customFormat="1" ht="13.95" customHeight="1" x14ac:dyDescent="0.3">
      <c r="A43" s="149"/>
      <c r="B43" s="635">
        <v>2018</v>
      </c>
      <c r="C43" s="636">
        <v>8</v>
      </c>
      <c r="D43" s="637">
        <f t="shared" si="4"/>
        <v>1.1805916207174114</v>
      </c>
      <c r="E43" s="638">
        <f t="shared" si="5"/>
        <v>0.71068133013012147</v>
      </c>
      <c r="F43" s="639">
        <f t="shared" si="0"/>
        <v>0.83902442335192584</v>
      </c>
      <c r="G43" s="655"/>
      <c r="H43" s="640">
        <f t="shared" si="1"/>
        <v>0.83902442335192584</v>
      </c>
      <c r="I43" s="640">
        <f t="shared" si="2"/>
        <v>0.83902442335192584</v>
      </c>
      <c r="J43" s="641">
        <f t="shared" si="3"/>
        <v>0.83902442335192584</v>
      </c>
      <c r="K43" s="149"/>
    </row>
    <row r="44" spans="1:11" s="606" customFormat="1" ht="13.95" customHeight="1" x14ac:dyDescent="0.3">
      <c r="A44" s="149"/>
      <c r="B44" s="635">
        <v>2019</v>
      </c>
      <c r="C44" s="636">
        <v>9</v>
      </c>
      <c r="D44" s="637">
        <f t="shared" si="4"/>
        <v>1.2089258196146291</v>
      </c>
      <c r="E44" s="638">
        <f t="shared" si="5"/>
        <v>0.67683936202868722</v>
      </c>
      <c r="F44" s="639">
        <f t="shared" si="0"/>
        <v>0.81824858048797333</v>
      </c>
      <c r="G44" s="655"/>
      <c r="H44" s="640">
        <f t="shared" si="1"/>
        <v>0.81824858048797333</v>
      </c>
      <c r="I44" s="640">
        <f t="shared" si="2"/>
        <v>0.81824858048797333</v>
      </c>
      <c r="J44" s="641">
        <f t="shared" si="3"/>
        <v>0.81824858048797333</v>
      </c>
      <c r="K44" s="149"/>
    </row>
    <row r="45" spans="1:11" s="606" customFormat="1" ht="13.95" customHeight="1" x14ac:dyDescent="0.3">
      <c r="A45" s="149"/>
      <c r="B45" s="642">
        <v>2020</v>
      </c>
      <c r="C45" s="643">
        <v>10</v>
      </c>
      <c r="D45" s="644">
        <f t="shared" si="4"/>
        <v>1.2379400392853801</v>
      </c>
      <c r="E45" s="645">
        <f t="shared" si="5"/>
        <v>0.64460891621779726</v>
      </c>
      <c r="F45" s="646">
        <f t="shared" si="0"/>
        <v>0.79798718706636618</v>
      </c>
      <c r="G45" s="656"/>
      <c r="H45" s="647">
        <f t="shared" si="1"/>
        <v>0.79798718706636618</v>
      </c>
      <c r="I45" s="640">
        <f t="shared" si="2"/>
        <v>0.79798718706636618</v>
      </c>
      <c r="J45" s="641">
        <f t="shared" si="3"/>
        <v>0.79798718706636618</v>
      </c>
      <c r="K45" s="149"/>
    </row>
    <row r="46" spans="1:11" s="606" customFormat="1" ht="13.95" customHeight="1" x14ac:dyDescent="0.3">
      <c r="A46" s="149"/>
      <c r="B46" s="649">
        <v>2021</v>
      </c>
      <c r="C46" s="650">
        <v>11</v>
      </c>
      <c r="D46" s="651">
        <f t="shared" si="4"/>
        <v>1.2676506002282293</v>
      </c>
      <c r="E46" s="652">
        <f t="shared" si="5"/>
        <v>0.61391325354075932</v>
      </c>
      <c r="F46" s="653">
        <f t="shared" si="0"/>
        <v>0.77822750433900867</v>
      </c>
      <c r="G46" s="654"/>
      <c r="H46" s="654"/>
      <c r="I46" s="657">
        <f t="shared" si="2"/>
        <v>0.77822750433900867</v>
      </c>
      <c r="J46" s="658">
        <f t="shared" si="3"/>
        <v>0.77822750433900867</v>
      </c>
      <c r="K46" s="149"/>
    </row>
    <row r="47" spans="1:11" s="606" customFormat="1" ht="13.95" customHeight="1" x14ac:dyDescent="0.3">
      <c r="A47" s="659"/>
      <c r="B47" s="635">
        <v>2022</v>
      </c>
      <c r="C47" s="636">
        <v>12</v>
      </c>
      <c r="D47" s="637">
        <f t="shared" si="4"/>
        <v>1.298074214633707</v>
      </c>
      <c r="E47" s="638">
        <f t="shared" si="5"/>
        <v>0.5846792890864374</v>
      </c>
      <c r="F47" s="639">
        <f t="shared" si="0"/>
        <v>0.75895710899347135</v>
      </c>
      <c r="G47" s="655"/>
      <c r="H47" s="655"/>
      <c r="I47" s="640">
        <f t="shared" si="2"/>
        <v>0.75895710899347135</v>
      </c>
      <c r="J47" s="641">
        <f t="shared" si="3"/>
        <v>0.75895710899347135</v>
      </c>
      <c r="K47" s="149"/>
    </row>
    <row r="48" spans="1:11" s="606" customFormat="1" ht="13.95" customHeight="1" x14ac:dyDescent="0.3">
      <c r="A48" s="149"/>
      <c r="B48" s="635">
        <v>2023</v>
      </c>
      <c r="C48" s="636">
        <v>13</v>
      </c>
      <c r="D48" s="637">
        <f t="shared" si="4"/>
        <v>1.3292279957849158</v>
      </c>
      <c r="E48" s="638">
        <f t="shared" si="5"/>
        <v>0.5568374181775595</v>
      </c>
      <c r="F48" s="639">
        <f t="shared" si="0"/>
        <v>0.74016388534220445</v>
      </c>
      <c r="G48" s="655"/>
      <c r="H48" s="655"/>
      <c r="I48" s="640">
        <f t="shared" si="2"/>
        <v>0.74016388534220445</v>
      </c>
      <c r="J48" s="641">
        <f t="shared" si="3"/>
        <v>0.74016388534220445</v>
      </c>
      <c r="K48" s="149"/>
    </row>
    <row r="49" spans="1:11" s="606" customFormat="1" ht="13.95" customHeight="1" x14ac:dyDescent="0.3">
      <c r="A49" s="149"/>
      <c r="B49" s="635">
        <v>2024</v>
      </c>
      <c r="C49" s="636">
        <v>14</v>
      </c>
      <c r="D49" s="637">
        <f t="shared" si="4"/>
        <v>1.3611294676837538</v>
      </c>
      <c r="E49" s="638">
        <f t="shared" si="5"/>
        <v>0.53032135064529462</v>
      </c>
      <c r="F49" s="639">
        <f t="shared" si="0"/>
        <v>0.72183601770515915</v>
      </c>
      <c r="G49" s="655"/>
      <c r="H49" s="655"/>
      <c r="I49" s="640">
        <f t="shared" si="2"/>
        <v>0.72183601770515915</v>
      </c>
      <c r="J49" s="641">
        <f t="shared" si="3"/>
        <v>0.72183601770515915</v>
      </c>
      <c r="K49" s="149"/>
    </row>
    <row r="50" spans="1:11" s="606" customFormat="1" ht="13.95" customHeight="1" x14ac:dyDescent="0.3">
      <c r="A50" s="149"/>
      <c r="B50" s="635">
        <v>2025</v>
      </c>
      <c r="C50" s="636">
        <v>15</v>
      </c>
      <c r="D50" s="637">
        <f t="shared" si="4"/>
        <v>1.3937965749081638</v>
      </c>
      <c r="E50" s="638">
        <f t="shared" si="5"/>
        <v>0.50506795299551888</v>
      </c>
      <c r="F50" s="639">
        <f t="shared" si="0"/>
        <v>0.70396198298103163</v>
      </c>
      <c r="G50" s="655"/>
      <c r="H50" s="655"/>
      <c r="I50" s="640">
        <f t="shared" si="2"/>
        <v>0.70396198298103163</v>
      </c>
      <c r="J50" s="641">
        <f t="shared" si="3"/>
        <v>0.70396198298103163</v>
      </c>
      <c r="K50" s="149"/>
    </row>
    <row r="51" spans="1:11" s="606" customFormat="1" ht="13.95" customHeight="1" x14ac:dyDescent="0.3">
      <c r="A51" s="149"/>
      <c r="B51" s="635">
        <v>2026</v>
      </c>
      <c r="C51" s="636">
        <v>16</v>
      </c>
      <c r="D51" s="637">
        <f t="shared" si="4"/>
        <v>1.4272476927059599</v>
      </c>
      <c r="E51" s="638">
        <f t="shared" si="5"/>
        <v>0.48101709809097021</v>
      </c>
      <c r="F51" s="639">
        <f t="shared" si="0"/>
        <v>0.68653054340245356</v>
      </c>
      <c r="G51" s="655"/>
      <c r="H51" s="655"/>
      <c r="I51" s="640">
        <f t="shared" si="2"/>
        <v>0.68653054340245356</v>
      </c>
      <c r="J51" s="641">
        <f t="shared" si="3"/>
        <v>0.68653054340245356</v>
      </c>
      <c r="K51" s="149"/>
    </row>
    <row r="52" spans="1:11" s="606" customFormat="1" ht="13.95" customHeight="1" x14ac:dyDescent="0.3">
      <c r="A52" s="149"/>
      <c r="B52" s="635">
        <v>2027</v>
      </c>
      <c r="C52" s="636">
        <v>17</v>
      </c>
      <c r="D52" s="637">
        <f t="shared" si="4"/>
        <v>1.4615016373309027</v>
      </c>
      <c r="E52" s="638">
        <f t="shared" si="5"/>
        <v>0.45811152199140021</v>
      </c>
      <c r="F52" s="639">
        <f t="shared" si="0"/>
        <v>0.66953073947058317</v>
      </c>
      <c r="G52" s="655"/>
      <c r="H52" s="655"/>
      <c r="I52" s="640">
        <f t="shared" si="2"/>
        <v>0.66953073947058317</v>
      </c>
      <c r="J52" s="641">
        <f t="shared" si="3"/>
        <v>0.66953073947058317</v>
      </c>
      <c r="K52" s="149"/>
    </row>
    <row r="53" spans="1:11" s="606" customFormat="1" ht="13.95" customHeight="1" x14ac:dyDescent="0.3">
      <c r="A53" s="149"/>
      <c r="B53" s="635">
        <v>2028</v>
      </c>
      <c r="C53" s="636">
        <v>18</v>
      </c>
      <c r="D53" s="637">
        <f t="shared" si="4"/>
        <v>1.4965776766268444</v>
      </c>
      <c r="E53" s="638">
        <f t="shared" si="5"/>
        <v>0.43629668761085727</v>
      </c>
      <c r="F53" s="639">
        <f t="shared" si="0"/>
        <v>0.65295188306464491</v>
      </c>
      <c r="G53" s="655"/>
      <c r="H53" s="655"/>
      <c r="I53" s="640">
        <f t="shared" si="2"/>
        <v>0.65295188306464491</v>
      </c>
      <c r="J53" s="641">
        <f t="shared" si="3"/>
        <v>0.65295188306464491</v>
      </c>
      <c r="K53" s="149"/>
    </row>
    <row r="54" spans="1:11" s="606" customFormat="1" ht="13.95" customHeight="1" x14ac:dyDescent="0.3">
      <c r="A54" s="149"/>
      <c r="B54" s="635">
        <v>2029</v>
      </c>
      <c r="C54" s="636">
        <v>19</v>
      </c>
      <c r="D54" s="637">
        <f t="shared" si="4"/>
        <v>1.5324955408658885</v>
      </c>
      <c r="E54" s="638">
        <f t="shared" si="5"/>
        <v>0.41552065486748313</v>
      </c>
      <c r="F54" s="639">
        <f t="shared" si="0"/>
        <v>0.6367835507220917</v>
      </c>
      <c r="G54" s="655"/>
      <c r="H54" s="655"/>
      <c r="I54" s="640">
        <f t="shared" si="2"/>
        <v>0.6367835507220917</v>
      </c>
      <c r="J54" s="641">
        <f t="shared" si="3"/>
        <v>0.6367835507220917</v>
      </c>
      <c r="K54" s="149"/>
    </row>
    <row r="55" spans="1:11" s="606" customFormat="1" ht="13.95" customHeight="1" x14ac:dyDescent="0.3">
      <c r="A55" s="149"/>
      <c r="B55" s="642">
        <v>2030</v>
      </c>
      <c r="C55" s="643">
        <v>20</v>
      </c>
      <c r="D55" s="644">
        <f t="shared" si="4"/>
        <v>1.5692754338466701</v>
      </c>
      <c r="E55" s="645">
        <f t="shared" si="5"/>
        <v>0.39573395701665059</v>
      </c>
      <c r="F55" s="646">
        <f t="shared" si="0"/>
        <v>0.62101557708516386</v>
      </c>
      <c r="G55" s="656"/>
      <c r="H55" s="656"/>
      <c r="I55" s="647">
        <f t="shared" si="2"/>
        <v>0.62101557708516386</v>
      </c>
      <c r="J55" s="648">
        <f t="shared" si="3"/>
        <v>0.62101557708516386</v>
      </c>
      <c r="K55" s="149"/>
    </row>
    <row r="56" spans="1:11" s="606" customFormat="1" ht="13.95" customHeight="1" x14ac:dyDescent="0.3">
      <c r="A56" s="149"/>
      <c r="B56" s="649">
        <v>2031</v>
      </c>
      <c r="C56" s="650">
        <v>21</v>
      </c>
      <c r="D56" s="651">
        <f t="shared" si="4"/>
        <v>1.60693804425899</v>
      </c>
      <c r="E56" s="652">
        <f t="shared" si="5"/>
        <v>0.37688948287300061</v>
      </c>
      <c r="F56" s="653">
        <f t="shared" si="0"/>
        <v>0.60563804850972169</v>
      </c>
      <c r="G56" s="660"/>
      <c r="H56" s="660"/>
      <c r="I56" s="661"/>
      <c r="J56" s="641">
        <f t="shared" si="3"/>
        <v>0.60563804850972169</v>
      </c>
      <c r="K56" s="149"/>
    </row>
    <row r="57" spans="1:11" s="606" customFormat="1" ht="13.95" customHeight="1" x14ac:dyDescent="0.3">
      <c r="A57" s="149"/>
      <c r="B57" s="635">
        <v>2032</v>
      </c>
      <c r="C57" s="636">
        <v>22</v>
      </c>
      <c r="D57" s="637">
        <f t="shared" si="4"/>
        <v>1.6455045573212059</v>
      </c>
      <c r="E57" s="638">
        <f t="shared" si="5"/>
        <v>0.35894236464095297</v>
      </c>
      <c r="F57" s="639">
        <f t="shared" si="0"/>
        <v>0.59064129683233824</v>
      </c>
      <c r="G57" s="661"/>
      <c r="H57" s="661"/>
      <c r="I57" s="661"/>
      <c r="J57" s="641">
        <f t="shared" si="3"/>
        <v>0.59064129683233824</v>
      </c>
      <c r="K57" s="149"/>
    </row>
    <row r="58" spans="1:11" s="606" customFormat="1" ht="13.95" customHeight="1" x14ac:dyDescent="0.3">
      <c r="A58" s="149"/>
      <c r="B58" s="635">
        <v>2033</v>
      </c>
      <c r="C58" s="636">
        <v>23</v>
      </c>
      <c r="D58" s="637">
        <f t="shared" si="4"/>
        <v>1.6849966666969145</v>
      </c>
      <c r="E58" s="638">
        <f t="shared" si="5"/>
        <v>0.3418498710866219</v>
      </c>
      <c r="F58" s="639">
        <f t="shared" si="0"/>
        <v>0.57601589329172787</v>
      </c>
      <c r="G58" s="661"/>
      <c r="H58" s="661"/>
      <c r="I58" s="661"/>
      <c r="J58" s="641">
        <f t="shared" si="3"/>
        <v>0.57601589329172787</v>
      </c>
      <c r="K58" s="149"/>
    </row>
    <row r="59" spans="1:11" s="606" customFormat="1" ht="13.95" customHeight="1" x14ac:dyDescent="0.3">
      <c r="A59" s="149"/>
      <c r="B59" s="635">
        <v>2034</v>
      </c>
      <c r="C59" s="636">
        <v>24</v>
      </c>
      <c r="D59" s="637">
        <f t="shared" si="4"/>
        <v>1.7254365866976409</v>
      </c>
      <c r="E59" s="638">
        <f t="shared" si="5"/>
        <v>0.32557130579678267</v>
      </c>
      <c r="F59" s="639">
        <f t="shared" si="0"/>
        <v>0.56175264260069457</v>
      </c>
      <c r="G59" s="661"/>
      <c r="H59" s="661"/>
      <c r="I59" s="661"/>
      <c r="J59" s="641">
        <f t="shared" si="3"/>
        <v>0.56175264260069457</v>
      </c>
      <c r="K59" s="149"/>
    </row>
    <row r="60" spans="1:11" s="606" customFormat="1" ht="13.95" customHeight="1" x14ac:dyDescent="0.3">
      <c r="A60" s="149"/>
      <c r="B60" s="635">
        <v>2035</v>
      </c>
      <c r="C60" s="636">
        <v>25</v>
      </c>
      <c r="D60" s="637">
        <f t="shared" si="4"/>
        <v>1.7668470647783838</v>
      </c>
      <c r="E60" s="638">
        <f t="shared" si="5"/>
        <v>0.31006791028265024</v>
      </c>
      <c r="F60" s="639">
        <f t="shared" si="0"/>
        <v>0.54784257716486784</v>
      </c>
      <c r="G60" s="661"/>
      <c r="H60" s="661"/>
      <c r="I60" s="661"/>
      <c r="J60" s="641">
        <f t="shared" si="3"/>
        <v>0.54784257716486784</v>
      </c>
      <c r="K60" s="149"/>
    </row>
    <row r="61" spans="1:11" s="606" customFormat="1" ht="13.95" customHeight="1" x14ac:dyDescent="0.3">
      <c r="A61" s="149"/>
      <c r="B61" s="635">
        <v>2036</v>
      </c>
      <c r="C61" s="636">
        <v>26</v>
      </c>
      <c r="D61" s="637">
        <f t="shared" si="4"/>
        <v>1.809251394333065</v>
      </c>
      <c r="E61" s="638">
        <f t="shared" si="5"/>
        <v>0.29530277169776209</v>
      </c>
      <c r="F61" s="639">
        <f t="shared" si="0"/>
        <v>0.53427695144459486</v>
      </c>
      <c r="G61" s="661"/>
      <c r="H61" s="661"/>
      <c r="I61" s="661"/>
      <c r="J61" s="641">
        <f t="shared" si="3"/>
        <v>0.53427695144459486</v>
      </c>
      <c r="K61" s="149"/>
    </row>
    <row r="62" spans="1:11" s="606" customFormat="1" ht="13.95" customHeight="1" x14ac:dyDescent="0.3">
      <c r="A62" s="149"/>
      <c r="B62" s="635">
        <v>2037</v>
      </c>
      <c r="C62" s="636">
        <v>27</v>
      </c>
      <c r="D62" s="637">
        <f t="shared" si="4"/>
        <v>1.8526734277970587</v>
      </c>
      <c r="E62" s="638">
        <f t="shared" si="5"/>
        <v>0.28124073495024959</v>
      </c>
      <c r="F62" s="639">
        <f t="shared" si="0"/>
        <v>0.52104723645644291</v>
      </c>
      <c r="G62" s="661"/>
      <c r="H62" s="661"/>
      <c r="I62" s="661"/>
      <c r="J62" s="641">
        <f t="shared" si="3"/>
        <v>0.52104723645644291</v>
      </c>
      <c r="K62" s="149"/>
    </row>
    <row r="63" spans="1:11" s="606" customFormat="1" ht="13.95" customHeight="1" x14ac:dyDescent="0.3">
      <c r="A63" s="149"/>
      <c r="B63" s="635">
        <v>2038</v>
      </c>
      <c r="C63" s="636">
        <v>28</v>
      </c>
      <c r="D63" s="637">
        <f t="shared" si="4"/>
        <v>1.8971375900641883</v>
      </c>
      <c r="E63" s="638">
        <f t="shared" si="5"/>
        <v>0.2678483190002377</v>
      </c>
      <c r="F63" s="639">
        <f t="shared" si="0"/>
        <v>0.50814511441085486</v>
      </c>
      <c r="G63" s="661"/>
      <c r="H63" s="661"/>
      <c r="I63" s="661"/>
      <c r="J63" s="641">
        <f t="shared" si="3"/>
        <v>0.50814511441085486</v>
      </c>
      <c r="K63" s="149"/>
    </row>
    <row r="64" spans="1:11" s="606" customFormat="1" ht="13.95" customHeight="1" x14ac:dyDescent="0.3">
      <c r="A64" s="149"/>
      <c r="B64" s="635">
        <v>2039</v>
      </c>
      <c r="C64" s="636">
        <v>29</v>
      </c>
      <c r="D64" s="637">
        <f t="shared" si="4"/>
        <v>1.9426688922257287</v>
      </c>
      <c r="E64" s="638">
        <f t="shared" si="5"/>
        <v>0.25509363714308358</v>
      </c>
      <c r="F64" s="639">
        <f t="shared" si="0"/>
        <v>0.4955624734825862</v>
      </c>
      <c r="G64" s="661"/>
      <c r="H64" s="661"/>
      <c r="I64" s="661"/>
      <c r="J64" s="641">
        <f t="shared" si="3"/>
        <v>0.4955624734825862</v>
      </c>
      <c r="K64" s="149"/>
    </row>
    <row r="65" spans="1:11" s="606" customFormat="1" ht="13.95" customHeight="1" thickBot="1" x14ac:dyDescent="0.35">
      <c r="A65" s="149"/>
      <c r="B65" s="642">
        <v>2040</v>
      </c>
      <c r="C65" s="643">
        <v>30</v>
      </c>
      <c r="D65" s="644">
        <f t="shared" si="4"/>
        <v>1.9892929456391462</v>
      </c>
      <c r="E65" s="645">
        <f t="shared" si="5"/>
        <v>0.24294632108865097</v>
      </c>
      <c r="F65" s="646">
        <f t="shared" si="0"/>
        <v>0.48329140271063631</v>
      </c>
      <c r="G65" s="662"/>
      <c r="H65" s="662"/>
      <c r="I65" s="662"/>
      <c r="J65" s="648">
        <f t="shared" si="3"/>
        <v>0.48329140271063631</v>
      </c>
      <c r="K65" s="149"/>
    </row>
    <row r="66" spans="1:11" s="606" customFormat="1" ht="13.95" customHeight="1" thickBot="1" x14ac:dyDescent="0.35">
      <c r="A66" s="149"/>
      <c r="B66" s="663" t="s">
        <v>183</v>
      </c>
      <c r="C66" s="664"/>
      <c r="D66" s="664"/>
      <c r="E66" s="665"/>
      <c r="F66" s="666">
        <f>F36</f>
        <v>1</v>
      </c>
      <c r="G66" s="667">
        <f>SUM(G36:G65)</f>
        <v>4.7584369335624563</v>
      </c>
      <c r="H66" s="668">
        <f>SUM(H36:H65)</f>
        <v>8.9561969401554151</v>
      </c>
      <c r="I66" s="668">
        <f>SUM(I36:I65)</f>
        <v>15.926155733261226</v>
      </c>
      <c r="J66" s="669">
        <f>SUM(J36:J65)</f>
        <v>21.350369370165694</v>
      </c>
      <c r="K66" s="149"/>
    </row>
    <row r="67" spans="1:11" ht="6" customHeight="1" x14ac:dyDescent="0.3">
      <c r="A67" s="15"/>
      <c r="B67" s="15"/>
      <c r="C67" s="15"/>
      <c r="D67" s="15"/>
      <c r="E67" s="15"/>
      <c r="F67" s="15"/>
      <c r="G67" s="15"/>
      <c r="H67" s="15"/>
      <c r="I67" s="15"/>
      <c r="J67" s="15"/>
      <c r="K67" s="15"/>
    </row>
  </sheetData>
  <mergeCells count="12">
    <mergeCell ref="B34:B35"/>
    <mergeCell ref="F34:J34"/>
    <mergeCell ref="C34:C35"/>
    <mergeCell ref="G13:H13"/>
    <mergeCell ref="G6:G8"/>
    <mergeCell ref="H6:I6"/>
    <mergeCell ref="I7:I8"/>
    <mergeCell ref="F6:F8"/>
    <mergeCell ref="E6:E8"/>
    <mergeCell ref="D6:D8"/>
    <mergeCell ref="H7:H8"/>
    <mergeCell ref="C6:C8"/>
  </mergeCells>
  <dataValidations disablePrompts="1" count="4">
    <dataValidation allowBlank="1" showInputMessage="1" showErrorMessage="1" prompt="53.347901" sqref="IG65523 SC65523 ABY65523 ALU65523 AVQ65523 BFM65523 BPI65523 BZE65523 CJA65523 CSW65523 DCS65523 DMO65523 DWK65523 EGG65523 EQC65523 EZY65523 FJU65523 FTQ65523 GDM65523 GNI65523 GXE65523 HHA65523 HQW65523 IAS65523 IKO65523 IUK65523 JEG65523 JOC65523 JXY65523 KHU65523 KRQ65523 LBM65523 LLI65523 LVE65523 MFA65523 MOW65523 MYS65523 NIO65523 NSK65523 OCG65523 OMC65523 OVY65523 PFU65523 PPQ65523 PZM65523 QJI65523 QTE65523 RDA65523 RMW65523 RWS65523 SGO65523 SQK65523 TAG65523 TKC65523 TTY65523 UDU65523 UNQ65523 UXM65523 VHI65523 VRE65523 WBA65523 WKW65523 WUS65523 IG131059 SC131059 ABY131059 ALU131059 AVQ131059 BFM131059 BPI131059 BZE131059 CJA131059 CSW131059 DCS131059 DMO131059 DWK131059 EGG131059 EQC131059 EZY131059 FJU131059 FTQ131059 GDM131059 GNI131059 GXE131059 HHA131059 HQW131059 IAS131059 IKO131059 IUK131059 JEG131059 JOC131059 JXY131059 KHU131059 KRQ131059 LBM131059 LLI131059 LVE131059 MFA131059 MOW131059 MYS131059 NIO131059 NSK131059 OCG131059 OMC131059 OVY131059 PFU131059 PPQ131059 PZM131059 QJI131059 QTE131059 RDA131059 RMW131059 RWS131059 SGO131059 SQK131059 TAG131059 TKC131059 TTY131059 UDU131059 UNQ131059 UXM131059 VHI131059 VRE131059 WBA131059 WKW131059 WUS131059 IG196595 SC196595 ABY196595 ALU196595 AVQ196595 BFM196595 BPI196595 BZE196595 CJA196595 CSW196595 DCS196595 DMO196595 DWK196595 EGG196595 EQC196595 EZY196595 FJU196595 FTQ196595 GDM196595 GNI196595 GXE196595 HHA196595 HQW196595 IAS196595 IKO196595 IUK196595 JEG196595 JOC196595 JXY196595 KHU196595 KRQ196595 LBM196595 LLI196595 LVE196595 MFA196595 MOW196595 MYS196595 NIO196595 NSK196595 OCG196595 OMC196595 OVY196595 PFU196595 PPQ196595 PZM196595 QJI196595 QTE196595 RDA196595 RMW196595 RWS196595 SGO196595 SQK196595 TAG196595 TKC196595 TTY196595 UDU196595 UNQ196595 UXM196595 VHI196595 VRE196595 WBA196595 WKW196595 WUS196595 IG262131 SC262131 ABY262131 ALU262131 AVQ262131 BFM262131 BPI262131 BZE262131 CJA262131 CSW262131 DCS262131 DMO262131 DWK262131 EGG262131 EQC262131 EZY262131 FJU262131 FTQ262131 GDM262131 GNI262131 GXE262131 HHA262131 HQW262131 IAS262131 IKO262131 IUK262131 JEG262131 JOC262131 JXY262131 KHU262131 KRQ262131 LBM262131 LLI262131 LVE262131 MFA262131 MOW262131 MYS262131 NIO262131 NSK262131 OCG262131 OMC262131 OVY262131 PFU262131 PPQ262131 PZM262131 QJI262131 QTE262131 RDA262131 RMW262131 RWS262131 SGO262131 SQK262131 TAG262131 TKC262131 TTY262131 UDU262131 UNQ262131 UXM262131 VHI262131 VRE262131 WBA262131 WKW262131 WUS262131 IG327667 SC327667 ABY327667 ALU327667 AVQ327667 BFM327667 BPI327667 BZE327667 CJA327667 CSW327667 DCS327667 DMO327667 DWK327667 EGG327667 EQC327667 EZY327667 FJU327667 FTQ327667 GDM327667 GNI327667 GXE327667 HHA327667 HQW327667 IAS327667 IKO327667 IUK327667 JEG327667 JOC327667 JXY327667 KHU327667 KRQ327667 LBM327667 LLI327667 LVE327667 MFA327667 MOW327667 MYS327667 NIO327667 NSK327667 OCG327667 OMC327667 OVY327667 PFU327667 PPQ327667 PZM327667 QJI327667 QTE327667 RDA327667 RMW327667 RWS327667 SGO327667 SQK327667 TAG327667 TKC327667 TTY327667 UDU327667 UNQ327667 UXM327667 VHI327667 VRE327667 WBA327667 WKW327667 WUS327667 IG393203 SC393203 ABY393203 ALU393203 AVQ393203 BFM393203 BPI393203 BZE393203 CJA393203 CSW393203 DCS393203 DMO393203 DWK393203 EGG393203 EQC393203 EZY393203 FJU393203 FTQ393203 GDM393203 GNI393203 GXE393203 HHA393203 HQW393203 IAS393203 IKO393203 IUK393203 JEG393203 JOC393203 JXY393203 KHU393203 KRQ393203 LBM393203 LLI393203 LVE393203 MFA393203 MOW393203 MYS393203 NIO393203 NSK393203 OCG393203 OMC393203 OVY393203 PFU393203 PPQ393203 PZM393203 QJI393203 QTE393203 RDA393203 RMW393203 RWS393203 SGO393203 SQK393203 TAG393203 TKC393203 TTY393203 UDU393203 UNQ393203 UXM393203 VHI393203 VRE393203 WBA393203 WKW393203 WUS393203 IG458739 SC458739 ABY458739 ALU458739 AVQ458739 BFM458739 BPI458739 BZE458739 CJA458739 CSW458739 DCS458739 DMO458739 DWK458739 EGG458739 EQC458739 EZY458739 FJU458739 FTQ458739 GDM458739 GNI458739 GXE458739 HHA458739 HQW458739 IAS458739 IKO458739 IUK458739 JEG458739 JOC458739 JXY458739 KHU458739 KRQ458739 LBM458739 LLI458739 LVE458739 MFA458739 MOW458739 MYS458739 NIO458739 NSK458739 OCG458739 OMC458739 OVY458739 PFU458739 PPQ458739 PZM458739 QJI458739 QTE458739 RDA458739 RMW458739 RWS458739 SGO458739 SQK458739 TAG458739 TKC458739 TTY458739 UDU458739 UNQ458739 UXM458739 VHI458739 VRE458739 WBA458739 WKW458739 WUS458739 IG524275 SC524275 ABY524275 ALU524275 AVQ524275 BFM524275 BPI524275 BZE524275 CJA524275 CSW524275 DCS524275 DMO524275 DWK524275 EGG524275 EQC524275 EZY524275 FJU524275 FTQ524275 GDM524275 GNI524275 GXE524275 HHA524275 HQW524275 IAS524275 IKO524275 IUK524275 JEG524275 JOC524275 JXY524275 KHU524275 KRQ524275 LBM524275 LLI524275 LVE524275 MFA524275 MOW524275 MYS524275 NIO524275 NSK524275 OCG524275 OMC524275 OVY524275 PFU524275 PPQ524275 PZM524275 QJI524275 QTE524275 RDA524275 RMW524275 RWS524275 SGO524275 SQK524275 TAG524275 TKC524275 TTY524275 UDU524275 UNQ524275 UXM524275 VHI524275 VRE524275 WBA524275 WKW524275 WUS524275 IG589811 SC589811 ABY589811 ALU589811 AVQ589811 BFM589811 BPI589811 BZE589811 CJA589811 CSW589811 DCS589811 DMO589811 DWK589811 EGG589811 EQC589811 EZY589811 FJU589811 FTQ589811 GDM589811 GNI589811 GXE589811 HHA589811 HQW589811 IAS589811 IKO589811 IUK589811 JEG589811 JOC589811 JXY589811 KHU589811 KRQ589811 LBM589811 LLI589811 LVE589811 MFA589811 MOW589811 MYS589811 NIO589811 NSK589811 OCG589811 OMC589811 OVY589811 PFU589811 PPQ589811 PZM589811 QJI589811 QTE589811 RDA589811 RMW589811 RWS589811 SGO589811 SQK589811 TAG589811 TKC589811 TTY589811 UDU589811 UNQ589811 UXM589811 VHI589811 VRE589811 WBA589811 WKW589811 WUS589811 IG655347 SC655347 ABY655347 ALU655347 AVQ655347 BFM655347 BPI655347 BZE655347 CJA655347 CSW655347 DCS655347 DMO655347 DWK655347 EGG655347 EQC655347 EZY655347 FJU655347 FTQ655347 GDM655347 GNI655347 GXE655347 HHA655347 HQW655347 IAS655347 IKO655347 IUK655347 JEG655347 JOC655347 JXY655347 KHU655347 KRQ655347 LBM655347 LLI655347 LVE655347 MFA655347 MOW655347 MYS655347 NIO655347 NSK655347 OCG655347 OMC655347 OVY655347 PFU655347 PPQ655347 PZM655347 QJI655347 QTE655347 RDA655347 RMW655347 RWS655347 SGO655347 SQK655347 TAG655347 TKC655347 TTY655347 UDU655347 UNQ655347 UXM655347 VHI655347 VRE655347 WBA655347 WKW655347 WUS655347 IG720883 SC720883 ABY720883 ALU720883 AVQ720883 BFM720883 BPI720883 BZE720883 CJA720883 CSW720883 DCS720883 DMO720883 DWK720883 EGG720883 EQC720883 EZY720883 FJU720883 FTQ720883 GDM720883 GNI720883 GXE720883 HHA720883 HQW720883 IAS720883 IKO720883 IUK720883 JEG720883 JOC720883 JXY720883 KHU720883 KRQ720883 LBM720883 LLI720883 LVE720883 MFA720883 MOW720883 MYS720883 NIO720883 NSK720883 OCG720883 OMC720883 OVY720883 PFU720883 PPQ720883 PZM720883 QJI720883 QTE720883 RDA720883 RMW720883 RWS720883 SGO720883 SQK720883 TAG720883 TKC720883 TTY720883 UDU720883 UNQ720883 UXM720883 VHI720883 VRE720883 WBA720883 WKW720883 WUS720883 IG786419 SC786419 ABY786419 ALU786419 AVQ786419 BFM786419 BPI786419 BZE786419 CJA786419 CSW786419 DCS786419 DMO786419 DWK786419 EGG786419 EQC786419 EZY786419 FJU786419 FTQ786419 GDM786419 GNI786419 GXE786419 HHA786419 HQW786419 IAS786419 IKO786419 IUK786419 JEG786419 JOC786419 JXY786419 KHU786419 KRQ786419 LBM786419 LLI786419 LVE786419 MFA786419 MOW786419 MYS786419 NIO786419 NSK786419 OCG786419 OMC786419 OVY786419 PFU786419 PPQ786419 PZM786419 QJI786419 QTE786419 RDA786419 RMW786419 RWS786419 SGO786419 SQK786419 TAG786419 TKC786419 TTY786419 UDU786419 UNQ786419 UXM786419 VHI786419 VRE786419 WBA786419 WKW786419 WUS786419 IG851955 SC851955 ABY851955 ALU851955 AVQ851955 BFM851955 BPI851955 BZE851955 CJA851955 CSW851955 DCS851955 DMO851955 DWK851955 EGG851955 EQC851955 EZY851955 FJU851955 FTQ851955 GDM851955 GNI851955 GXE851955 HHA851955 HQW851955 IAS851955 IKO851955 IUK851955 JEG851955 JOC851955 JXY851955 KHU851955 KRQ851955 LBM851955 LLI851955 LVE851955 MFA851955 MOW851955 MYS851955 NIO851955 NSK851955 OCG851955 OMC851955 OVY851955 PFU851955 PPQ851955 PZM851955 QJI851955 QTE851955 RDA851955 RMW851955 RWS851955 SGO851955 SQK851955 TAG851955 TKC851955 TTY851955 UDU851955 UNQ851955 UXM851955 VHI851955 VRE851955 WBA851955 WKW851955 WUS851955 IG917491 SC917491 ABY917491 ALU917491 AVQ917491 BFM917491 BPI917491 BZE917491 CJA917491 CSW917491 DCS917491 DMO917491 DWK917491 EGG917491 EQC917491 EZY917491 FJU917491 FTQ917491 GDM917491 GNI917491 GXE917491 HHA917491 HQW917491 IAS917491 IKO917491 IUK917491 JEG917491 JOC917491 JXY917491 KHU917491 KRQ917491 LBM917491 LLI917491 LVE917491 MFA917491 MOW917491 MYS917491 NIO917491 NSK917491 OCG917491 OMC917491 OVY917491 PFU917491 PPQ917491 PZM917491 QJI917491 QTE917491 RDA917491 RMW917491 RWS917491 SGO917491 SQK917491 TAG917491 TKC917491 TTY917491 UDU917491 UNQ917491 UXM917491 VHI917491 VRE917491 WBA917491 WKW917491 WUS917491 IG983027 SC983027 ABY983027 ALU983027 AVQ983027 BFM983027 BPI983027 BZE983027 CJA983027 CSW983027 DCS983027 DMO983027 DWK983027 EGG983027 EQC983027 EZY983027 FJU983027 FTQ983027 GDM983027 GNI983027 GXE983027 HHA983027 HQW983027 IAS983027 IKO983027 IUK983027 JEG983027 JOC983027 JXY983027 KHU983027 KRQ983027 LBM983027 LLI983027 LVE983027 MFA983027 MOW983027 MYS983027 NIO983027 NSK983027 OCG983027 OMC983027 OVY983027 PFU983027 PPQ983027 PZM983027 QJI983027 QTE983027 RDA983027 RMW983027 RWS983027 SGO983027 SQK983027 TAG983027 TKC983027 TTY983027 UDU983027 UNQ983027 UXM983027 VHI983027 VRE983027 WBA983027 WKW983027 WUS983027"/>
    <dataValidation allowBlank="1" showInputMessage="1" showErrorMessage="1" prompt="-6.294484" sqref="II65523 SE65523 ACA65523 ALW65523 AVS65523 BFO65523 BPK65523 BZG65523 CJC65523 CSY65523 DCU65523 DMQ65523 DWM65523 EGI65523 EQE65523 FAA65523 FJW65523 FTS65523 GDO65523 GNK65523 GXG65523 HHC65523 HQY65523 IAU65523 IKQ65523 IUM65523 JEI65523 JOE65523 JYA65523 KHW65523 KRS65523 LBO65523 LLK65523 LVG65523 MFC65523 MOY65523 MYU65523 NIQ65523 NSM65523 OCI65523 OME65523 OWA65523 PFW65523 PPS65523 PZO65523 QJK65523 QTG65523 RDC65523 RMY65523 RWU65523 SGQ65523 SQM65523 TAI65523 TKE65523 TUA65523 UDW65523 UNS65523 UXO65523 VHK65523 VRG65523 WBC65523 WKY65523 WUU65523 II131059 SE131059 ACA131059 ALW131059 AVS131059 BFO131059 BPK131059 BZG131059 CJC131059 CSY131059 DCU131059 DMQ131059 DWM131059 EGI131059 EQE131059 FAA131059 FJW131059 FTS131059 GDO131059 GNK131059 GXG131059 HHC131059 HQY131059 IAU131059 IKQ131059 IUM131059 JEI131059 JOE131059 JYA131059 KHW131059 KRS131059 LBO131059 LLK131059 LVG131059 MFC131059 MOY131059 MYU131059 NIQ131059 NSM131059 OCI131059 OME131059 OWA131059 PFW131059 PPS131059 PZO131059 QJK131059 QTG131059 RDC131059 RMY131059 RWU131059 SGQ131059 SQM131059 TAI131059 TKE131059 TUA131059 UDW131059 UNS131059 UXO131059 VHK131059 VRG131059 WBC131059 WKY131059 WUU131059 II196595 SE196595 ACA196595 ALW196595 AVS196595 BFO196595 BPK196595 BZG196595 CJC196595 CSY196595 DCU196595 DMQ196595 DWM196595 EGI196595 EQE196595 FAA196595 FJW196595 FTS196595 GDO196595 GNK196595 GXG196595 HHC196595 HQY196595 IAU196595 IKQ196595 IUM196595 JEI196595 JOE196595 JYA196595 KHW196595 KRS196595 LBO196595 LLK196595 LVG196595 MFC196595 MOY196595 MYU196595 NIQ196595 NSM196595 OCI196595 OME196595 OWA196595 PFW196595 PPS196595 PZO196595 QJK196595 QTG196595 RDC196595 RMY196595 RWU196595 SGQ196595 SQM196595 TAI196595 TKE196595 TUA196595 UDW196595 UNS196595 UXO196595 VHK196595 VRG196595 WBC196595 WKY196595 WUU196595 II262131 SE262131 ACA262131 ALW262131 AVS262131 BFO262131 BPK262131 BZG262131 CJC262131 CSY262131 DCU262131 DMQ262131 DWM262131 EGI262131 EQE262131 FAA262131 FJW262131 FTS262131 GDO262131 GNK262131 GXG262131 HHC262131 HQY262131 IAU262131 IKQ262131 IUM262131 JEI262131 JOE262131 JYA262131 KHW262131 KRS262131 LBO262131 LLK262131 LVG262131 MFC262131 MOY262131 MYU262131 NIQ262131 NSM262131 OCI262131 OME262131 OWA262131 PFW262131 PPS262131 PZO262131 QJK262131 QTG262131 RDC262131 RMY262131 RWU262131 SGQ262131 SQM262131 TAI262131 TKE262131 TUA262131 UDW262131 UNS262131 UXO262131 VHK262131 VRG262131 WBC262131 WKY262131 WUU262131 II327667 SE327667 ACA327667 ALW327667 AVS327667 BFO327667 BPK327667 BZG327667 CJC327667 CSY327667 DCU327667 DMQ327667 DWM327667 EGI327667 EQE327667 FAA327667 FJW327667 FTS327667 GDO327667 GNK327667 GXG327667 HHC327667 HQY327667 IAU327667 IKQ327667 IUM327667 JEI327667 JOE327667 JYA327667 KHW327667 KRS327667 LBO327667 LLK327667 LVG327667 MFC327667 MOY327667 MYU327667 NIQ327667 NSM327667 OCI327667 OME327667 OWA327667 PFW327667 PPS327667 PZO327667 QJK327667 QTG327667 RDC327667 RMY327667 RWU327667 SGQ327667 SQM327667 TAI327667 TKE327667 TUA327667 UDW327667 UNS327667 UXO327667 VHK327667 VRG327667 WBC327667 WKY327667 WUU327667 II393203 SE393203 ACA393203 ALW393203 AVS393203 BFO393203 BPK393203 BZG393203 CJC393203 CSY393203 DCU393203 DMQ393203 DWM393203 EGI393203 EQE393203 FAA393203 FJW393203 FTS393203 GDO393203 GNK393203 GXG393203 HHC393203 HQY393203 IAU393203 IKQ393203 IUM393203 JEI393203 JOE393203 JYA393203 KHW393203 KRS393203 LBO393203 LLK393203 LVG393203 MFC393203 MOY393203 MYU393203 NIQ393203 NSM393203 OCI393203 OME393203 OWA393203 PFW393203 PPS393203 PZO393203 QJK393203 QTG393203 RDC393203 RMY393203 RWU393203 SGQ393203 SQM393203 TAI393203 TKE393203 TUA393203 UDW393203 UNS393203 UXO393203 VHK393203 VRG393203 WBC393203 WKY393203 WUU393203 II458739 SE458739 ACA458739 ALW458739 AVS458739 BFO458739 BPK458739 BZG458739 CJC458739 CSY458739 DCU458739 DMQ458739 DWM458739 EGI458739 EQE458739 FAA458739 FJW458739 FTS458739 GDO458739 GNK458739 GXG458739 HHC458739 HQY458739 IAU458739 IKQ458739 IUM458739 JEI458739 JOE458739 JYA458739 KHW458739 KRS458739 LBO458739 LLK458739 LVG458739 MFC458739 MOY458739 MYU458739 NIQ458739 NSM458739 OCI458739 OME458739 OWA458739 PFW458739 PPS458739 PZO458739 QJK458739 QTG458739 RDC458739 RMY458739 RWU458739 SGQ458739 SQM458739 TAI458739 TKE458739 TUA458739 UDW458739 UNS458739 UXO458739 VHK458739 VRG458739 WBC458739 WKY458739 WUU458739 II524275 SE524275 ACA524275 ALW524275 AVS524275 BFO524275 BPK524275 BZG524275 CJC524275 CSY524275 DCU524275 DMQ524275 DWM524275 EGI524275 EQE524275 FAA524275 FJW524275 FTS524275 GDO524275 GNK524275 GXG524275 HHC524275 HQY524275 IAU524275 IKQ524275 IUM524275 JEI524275 JOE524275 JYA524275 KHW524275 KRS524275 LBO524275 LLK524275 LVG524275 MFC524275 MOY524275 MYU524275 NIQ524275 NSM524275 OCI524275 OME524275 OWA524275 PFW524275 PPS524275 PZO524275 QJK524275 QTG524275 RDC524275 RMY524275 RWU524275 SGQ524275 SQM524275 TAI524275 TKE524275 TUA524275 UDW524275 UNS524275 UXO524275 VHK524275 VRG524275 WBC524275 WKY524275 WUU524275 II589811 SE589811 ACA589811 ALW589811 AVS589811 BFO589811 BPK589811 BZG589811 CJC589811 CSY589811 DCU589811 DMQ589811 DWM589811 EGI589811 EQE589811 FAA589811 FJW589811 FTS589811 GDO589811 GNK589811 GXG589811 HHC589811 HQY589811 IAU589811 IKQ589811 IUM589811 JEI589811 JOE589811 JYA589811 KHW589811 KRS589811 LBO589811 LLK589811 LVG589811 MFC589811 MOY589811 MYU589811 NIQ589811 NSM589811 OCI589811 OME589811 OWA589811 PFW589811 PPS589811 PZO589811 QJK589811 QTG589811 RDC589811 RMY589811 RWU589811 SGQ589811 SQM589811 TAI589811 TKE589811 TUA589811 UDW589811 UNS589811 UXO589811 VHK589811 VRG589811 WBC589811 WKY589811 WUU589811 II655347 SE655347 ACA655347 ALW655347 AVS655347 BFO655347 BPK655347 BZG655347 CJC655347 CSY655347 DCU655347 DMQ655347 DWM655347 EGI655347 EQE655347 FAA655347 FJW655347 FTS655347 GDO655347 GNK655347 GXG655347 HHC655347 HQY655347 IAU655347 IKQ655347 IUM655347 JEI655347 JOE655347 JYA655347 KHW655347 KRS655347 LBO655347 LLK655347 LVG655347 MFC655347 MOY655347 MYU655347 NIQ655347 NSM655347 OCI655347 OME655347 OWA655347 PFW655347 PPS655347 PZO655347 QJK655347 QTG655347 RDC655347 RMY655347 RWU655347 SGQ655347 SQM655347 TAI655347 TKE655347 TUA655347 UDW655347 UNS655347 UXO655347 VHK655347 VRG655347 WBC655347 WKY655347 WUU655347 II720883 SE720883 ACA720883 ALW720883 AVS720883 BFO720883 BPK720883 BZG720883 CJC720883 CSY720883 DCU720883 DMQ720883 DWM720883 EGI720883 EQE720883 FAA720883 FJW720883 FTS720883 GDO720883 GNK720883 GXG720883 HHC720883 HQY720883 IAU720883 IKQ720883 IUM720883 JEI720883 JOE720883 JYA720883 KHW720883 KRS720883 LBO720883 LLK720883 LVG720883 MFC720883 MOY720883 MYU720883 NIQ720883 NSM720883 OCI720883 OME720883 OWA720883 PFW720883 PPS720883 PZO720883 QJK720883 QTG720883 RDC720883 RMY720883 RWU720883 SGQ720883 SQM720883 TAI720883 TKE720883 TUA720883 UDW720883 UNS720883 UXO720883 VHK720883 VRG720883 WBC720883 WKY720883 WUU720883 II786419 SE786419 ACA786419 ALW786419 AVS786419 BFO786419 BPK786419 BZG786419 CJC786419 CSY786419 DCU786419 DMQ786419 DWM786419 EGI786419 EQE786419 FAA786419 FJW786419 FTS786419 GDO786419 GNK786419 GXG786419 HHC786419 HQY786419 IAU786419 IKQ786419 IUM786419 JEI786419 JOE786419 JYA786419 KHW786419 KRS786419 LBO786419 LLK786419 LVG786419 MFC786419 MOY786419 MYU786419 NIQ786419 NSM786419 OCI786419 OME786419 OWA786419 PFW786419 PPS786419 PZO786419 QJK786419 QTG786419 RDC786419 RMY786419 RWU786419 SGQ786419 SQM786419 TAI786419 TKE786419 TUA786419 UDW786419 UNS786419 UXO786419 VHK786419 VRG786419 WBC786419 WKY786419 WUU786419 II851955 SE851955 ACA851955 ALW851955 AVS851955 BFO851955 BPK851955 BZG851955 CJC851955 CSY851955 DCU851955 DMQ851955 DWM851955 EGI851955 EQE851955 FAA851955 FJW851955 FTS851955 GDO851955 GNK851955 GXG851955 HHC851955 HQY851955 IAU851955 IKQ851955 IUM851955 JEI851955 JOE851955 JYA851955 KHW851955 KRS851955 LBO851955 LLK851955 LVG851955 MFC851955 MOY851955 MYU851955 NIQ851955 NSM851955 OCI851955 OME851955 OWA851955 PFW851955 PPS851955 PZO851955 QJK851955 QTG851955 RDC851955 RMY851955 RWU851955 SGQ851955 SQM851955 TAI851955 TKE851955 TUA851955 UDW851955 UNS851955 UXO851955 VHK851955 VRG851955 WBC851955 WKY851955 WUU851955 II917491 SE917491 ACA917491 ALW917491 AVS917491 BFO917491 BPK917491 BZG917491 CJC917491 CSY917491 DCU917491 DMQ917491 DWM917491 EGI917491 EQE917491 FAA917491 FJW917491 FTS917491 GDO917491 GNK917491 GXG917491 HHC917491 HQY917491 IAU917491 IKQ917491 IUM917491 JEI917491 JOE917491 JYA917491 KHW917491 KRS917491 LBO917491 LLK917491 LVG917491 MFC917491 MOY917491 MYU917491 NIQ917491 NSM917491 OCI917491 OME917491 OWA917491 PFW917491 PPS917491 PZO917491 QJK917491 QTG917491 RDC917491 RMY917491 RWU917491 SGQ917491 SQM917491 TAI917491 TKE917491 TUA917491 UDW917491 UNS917491 UXO917491 VHK917491 VRG917491 WBC917491 WKY917491 WUU917491 II983027 SE983027 ACA983027 ALW983027 AVS983027 BFO983027 BPK983027 BZG983027 CJC983027 CSY983027 DCU983027 DMQ983027 DWM983027 EGI983027 EQE983027 FAA983027 FJW983027 FTS983027 GDO983027 GNK983027 GXG983027 HHC983027 HQY983027 IAU983027 IKQ983027 IUM983027 JEI983027 JOE983027 JYA983027 KHW983027 KRS983027 LBO983027 LLK983027 LVG983027 MFC983027 MOY983027 MYU983027 NIQ983027 NSM983027 OCI983027 OME983027 OWA983027 PFW983027 PPS983027 PZO983027 QJK983027 QTG983027 RDC983027 RMY983027 RWU983027 SGQ983027 SQM983027 TAI983027 TKE983027 TUA983027 UDW983027 UNS983027 UXO983027 VHK983027 VRG983027 WBC983027 WKY983027 WUU983027"/>
    <dataValidation allowBlank="1" showInputMessage="1" showErrorMessage="1" prompt="53° 20' 52.4436''" sqref="IG65527 SC65527 ABY65527 ALU65527 AVQ65527 BFM65527 BPI65527 BZE65527 CJA65527 CSW65527 DCS65527 DMO65527 DWK65527 EGG65527 EQC65527 EZY65527 FJU65527 FTQ65527 GDM65527 GNI65527 GXE65527 HHA65527 HQW65527 IAS65527 IKO65527 IUK65527 JEG65527 JOC65527 JXY65527 KHU65527 KRQ65527 LBM65527 LLI65527 LVE65527 MFA65527 MOW65527 MYS65527 NIO65527 NSK65527 OCG65527 OMC65527 OVY65527 PFU65527 PPQ65527 PZM65527 QJI65527 QTE65527 RDA65527 RMW65527 RWS65527 SGO65527 SQK65527 TAG65527 TKC65527 TTY65527 UDU65527 UNQ65527 UXM65527 VHI65527 VRE65527 WBA65527 WKW65527 WUS65527 IG131063 SC131063 ABY131063 ALU131063 AVQ131063 BFM131063 BPI131063 BZE131063 CJA131063 CSW131063 DCS131063 DMO131063 DWK131063 EGG131063 EQC131063 EZY131063 FJU131063 FTQ131063 GDM131063 GNI131063 GXE131063 HHA131063 HQW131063 IAS131063 IKO131063 IUK131063 JEG131063 JOC131063 JXY131063 KHU131063 KRQ131063 LBM131063 LLI131063 LVE131063 MFA131063 MOW131063 MYS131063 NIO131063 NSK131063 OCG131063 OMC131063 OVY131063 PFU131063 PPQ131063 PZM131063 QJI131063 QTE131063 RDA131063 RMW131063 RWS131063 SGO131063 SQK131063 TAG131063 TKC131063 TTY131063 UDU131063 UNQ131063 UXM131063 VHI131063 VRE131063 WBA131063 WKW131063 WUS131063 IG196599 SC196599 ABY196599 ALU196599 AVQ196599 BFM196599 BPI196599 BZE196599 CJA196599 CSW196599 DCS196599 DMO196599 DWK196599 EGG196599 EQC196599 EZY196599 FJU196599 FTQ196599 GDM196599 GNI196599 GXE196599 HHA196599 HQW196599 IAS196599 IKO196599 IUK196599 JEG196599 JOC196599 JXY196599 KHU196599 KRQ196599 LBM196599 LLI196599 LVE196599 MFA196599 MOW196599 MYS196599 NIO196599 NSK196599 OCG196599 OMC196599 OVY196599 PFU196599 PPQ196599 PZM196599 QJI196599 QTE196599 RDA196599 RMW196599 RWS196599 SGO196599 SQK196599 TAG196599 TKC196599 TTY196599 UDU196599 UNQ196599 UXM196599 VHI196599 VRE196599 WBA196599 WKW196599 WUS196599 IG262135 SC262135 ABY262135 ALU262135 AVQ262135 BFM262135 BPI262135 BZE262135 CJA262135 CSW262135 DCS262135 DMO262135 DWK262135 EGG262135 EQC262135 EZY262135 FJU262135 FTQ262135 GDM262135 GNI262135 GXE262135 HHA262135 HQW262135 IAS262135 IKO262135 IUK262135 JEG262135 JOC262135 JXY262135 KHU262135 KRQ262135 LBM262135 LLI262135 LVE262135 MFA262135 MOW262135 MYS262135 NIO262135 NSK262135 OCG262135 OMC262135 OVY262135 PFU262135 PPQ262135 PZM262135 QJI262135 QTE262135 RDA262135 RMW262135 RWS262135 SGO262135 SQK262135 TAG262135 TKC262135 TTY262135 UDU262135 UNQ262135 UXM262135 VHI262135 VRE262135 WBA262135 WKW262135 WUS262135 IG327671 SC327671 ABY327671 ALU327671 AVQ327671 BFM327671 BPI327671 BZE327671 CJA327671 CSW327671 DCS327671 DMO327671 DWK327671 EGG327671 EQC327671 EZY327671 FJU327671 FTQ327671 GDM327671 GNI327671 GXE327671 HHA327671 HQW327671 IAS327671 IKO327671 IUK327671 JEG327671 JOC327671 JXY327671 KHU327671 KRQ327671 LBM327671 LLI327671 LVE327671 MFA327671 MOW327671 MYS327671 NIO327671 NSK327671 OCG327671 OMC327671 OVY327671 PFU327671 PPQ327671 PZM327671 QJI327671 QTE327671 RDA327671 RMW327671 RWS327671 SGO327671 SQK327671 TAG327671 TKC327671 TTY327671 UDU327671 UNQ327671 UXM327671 VHI327671 VRE327671 WBA327671 WKW327671 WUS327671 IG393207 SC393207 ABY393207 ALU393207 AVQ393207 BFM393207 BPI393207 BZE393207 CJA393207 CSW393207 DCS393207 DMO393207 DWK393207 EGG393207 EQC393207 EZY393207 FJU393207 FTQ393207 GDM393207 GNI393207 GXE393207 HHA393207 HQW393207 IAS393207 IKO393207 IUK393207 JEG393207 JOC393207 JXY393207 KHU393207 KRQ393207 LBM393207 LLI393207 LVE393207 MFA393207 MOW393207 MYS393207 NIO393207 NSK393207 OCG393207 OMC393207 OVY393207 PFU393207 PPQ393207 PZM393207 QJI393207 QTE393207 RDA393207 RMW393207 RWS393207 SGO393207 SQK393207 TAG393207 TKC393207 TTY393207 UDU393207 UNQ393207 UXM393207 VHI393207 VRE393207 WBA393207 WKW393207 WUS393207 IG458743 SC458743 ABY458743 ALU458743 AVQ458743 BFM458743 BPI458743 BZE458743 CJA458743 CSW458743 DCS458743 DMO458743 DWK458743 EGG458743 EQC458743 EZY458743 FJU458743 FTQ458743 GDM458743 GNI458743 GXE458743 HHA458743 HQW458743 IAS458743 IKO458743 IUK458743 JEG458743 JOC458743 JXY458743 KHU458743 KRQ458743 LBM458743 LLI458743 LVE458743 MFA458743 MOW458743 MYS458743 NIO458743 NSK458743 OCG458743 OMC458743 OVY458743 PFU458743 PPQ458743 PZM458743 QJI458743 QTE458743 RDA458743 RMW458743 RWS458743 SGO458743 SQK458743 TAG458743 TKC458743 TTY458743 UDU458743 UNQ458743 UXM458743 VHI458743 VRE458743 WBA458743 WKW458743 WUS458743 IG524279 SC524279 ABY524279 ALU524279 AVQ524279 BFM524279 BPI524279 BZE524279 CJA524279 CSW524279 DCS524279 DMO524279 DWK524279 EGG524279 EQC524279 EZY524279 FJU524279 FTQ524279 GDM524279 GNI524279 GXE524279 HHA524279 HQW524279 IAS524279 IKO524279 IUK524279 JEG524279 JOC524279 JXY524279 KHU524279 KRQ524279 LBM524279 LLI524279 LVE524279 MFA524279 MOW524279 MYS524279 NIO524279 NSK524279 OCG524279 OMC524279 OVY524279 PFU524279 PPQ524279 PZM524279 QJI524279 QTE524279 RDA524279 RMW524279 RWS524279 SGO524279 SQK524279 TAG524279 TKC524279 TTY524279 UDU524279 UNQ524279 UXM524279 VHI524279 VRE524279 WBA524279 WKW524279 WUS524279 IG589815 SC589815 ABY589815 ALU589815 AVQ589815 BFM589815 BPI589815 BZE589815 CJA589815 CSW589815 DCS589815 DMO589815 DWK589815 EGG589815 EQC589815 EZY589815 FJU589815 FTQ589815 GDM589815 GNI589815 GXE589815 HHA589815 HQW589815 IAS589815 IKO589815 IUK589815 JEG589815 JOC589815 JXY589815 KHU589815 KRQ589815 LBM589815 LLI589815 LVE589815 MFA589815 MOW589815 MYS589815 NIO589815 NSK589815 OCG589815 OMC589815 OVY589815 PFU589815 PPQ589815 PZM589815 QJI589815 QTE589815 RDA589815 RMW589815 RWS589815 SGO589815 SQK589815 TAG589815 TKC589815 TTY589815 UDU589815 UNQ589815 UXM589815 VHI589815 VRE589815 WBA589815 WKW589815 WUS589815 IG655351 SC655351 ABY655351 ALU655351 AVQ655351 BFM655351 BPI655351 BZE655351 CJA655351 CSW655351 DCS655351 DMO655351 DWK655351 EGG655351 EQC655351 EZY655351 FJU655351 FTQ655351 GDM655351 GNI655351 GXE655351 HHA655351 HQW655351 IAS655351 IKO655351 IUK655351 JEG655351 JOC655351 JXY655351 KHU655351 KRQ655351 LBM655351 LLI655351 LVE655351 MFA655351 MOW655351 MYS655351 NIO655351 NSK655351 OCG655351 OMC655351 OVY655351 PFU655351 PPQ655351 PZM655351 QJI655351 QTE655351 RDA655351 RMW655351 RWS655351 SGO655351 SQK655351 TAG655351 TKC655351 TTY655351 UDU655351 UNQ655351 UXM655351 VHI655351 VRE655351 WBA655351 WKW655351 WUS655351 IG720887 SC720887 ABY720887 ALU720887 AVQ720887 BFM720887 BPI720887 BZE720887 CJA720887 CSW720887 DCS720887 DMO720887 DWK720887 EGG720887 EQC720887 EZY720887 FJU720887 FTQ720887 GDM720887 GNI720887 GXE720887 HHA720887 HQW720887 IAS720887 IKO720887 IUK720887 JEG720887 JOC720887 JXY720887 KHU720887 KRQ720887 LBM720887 LLI720887 LVE720887 MFA720887 MOW720887 MYS720887 NIO720887 NSK720887 OCG720887 OMC720887 OVY720887 PFU720887 PPQ720887 PZM720887 QJI720887 QTE720887 RDA720887 RMW720887 RWS720887 SGO720887 SQK720887 TAG720887 TKC720887 TTY720887 UDU720887 UNQ720887 UXM720887 VHI720887 VRE720887 WBA720887 WKW720887 WUS720887 IG786423 SC786423 ABY786423 ALU786423 AVQ786423 BFM786423 BPI786423 BZE786423 CJA786423 CSW786423 DCS786423 DMO786423 DWK786423 EGG786423 EQC786423 EZY786423 FJU786423 FTQ786423 GDM786423 GNI786423 GXE786423 HHA786423 HQW786423 IAS786423 IKO786423 IUK786423 JEG786423 JOC786423 JXY786423 KHU786423 KRQ786423 LBM786423 LLI786423 LVE786423 MFA786423 MOW786423 MYS786423 NIO786423 NSK786423 OCG786423 OMC786423 OVY786423 PFU786423 PPQ786423 PZM786423 QJI786423 QTE786423 RDA786423 RMW786423 RWS786423 SGO786423 SQK786423 TAG786423 TKC786423 TTY786423 UDU786423 UNQ786423 UXM786423 VHI786423 VRE786423 WBA786423 WKW786423 WUS786423 IG851959 SC851959 ABY851959 ALU851959 AVQ851959 BFM851959 BPI851959 BZE851959 CJA851959 CSW851959 DCS851959 DMO851959 DWK851959 EGG851959 EQC851959 EZY851959 FJU851959 FTQ851959 GDM851959 GNI851959 GXE851959 HHA851959 HQW851959 IAS851959 IKO851959 IUK851959 JEG851959 JOC851959 JXY851959 KHU851959 KRQ851959 LBM851959 LLI851959 LVE851959 MFA851959 MOW851959 MYS851959 NIO851959 NSK851959 OCG851959 OMC851959 OVY851959 PFU851959 PPQ851959 PZM851959 QJI851959 QTE851959 RDA851959 RMW851959 RWS851959 SGO851959 SQK851959 TAG851959 TKC851959 TTY851959 UDU851959 UNQ851959 UXM851959 VHI851959 VRE851959 WBA851959 WKW851959 WUS851959 IG917495 SC917495 ABY917495 ALU917495 AVQ917495 BFM917495 BPI917495 BZE917495 CJA917495 CSW917495 DCS917495 DMO917495 DWK917495 EGG917495 EQC917495 EZY917495 FJU917495 FTQ917495 GDM917495 GNI917495 GXE917495 HHA917495 HQW917495 IAS917495 IKO917495 IUK917495 JEG917495 JOC917495 JXY917495 KHU917495 KRQ917495 LBM917495 LLI917495 LVE917495 MFA917495 MOW917495 MYS917495 NIO917495 NSK917495 OCG917495 OMC917495 OVY917495 PFU917495 PPQ917495 PZM917495 QJI917495 QTE917495 RDA917495 RMW917495 RWS917495 SGO917495 SQK917495 TAG917495 TKC917495 TTY917495 UDU917495 UNQ917495 UXM917495 VHI917495 VRE917495 WBA917495 WKW917495 WUS917495 IG983031 SC983031 ABY983031 ALU983031 AVQ983031 BFM983031 BPI983031 BZE983031 CJA983031 CSW983031 DCS983031 DMO983031 DWK983031 EGG983031 EQC983031 EZY983031 FJU983031 FTQ983031 GDM983031 GNI983031 GXE983031 HHA983031 HQW983031 IAS983031 IKO983031 IUK983031 JEG983031 JOC983031 JXY983031 KHU983031 KRQ983031 LBM983031 LLI983031 LVE983031 MFA983031 MOW983031 MYS983031 NIO983031 NSK983031 OCG983031 OMC983031 OVY983031 PFU983031 PPQ983031 PZM983031 QJI983031 QTE983031 RDA983031 RMW983031 RWS983031 SGO983031 SQK983031 TAG983031 TKC983031 TTY983031 UDU983031 UNQ983031 UXM983031 VHI983031 VRE983031 WBA983031 WKW983031 WUS983031"/>
    <dataValidation allowBlank="1" showInputMessage="1" showErrorMessage="1" prompt="6° 17' 40.1424''" sqref="II65527 SE65527 ACA65527 ALW65527 AVS65527 BFO65527 BPK65527 BZG65527 CJC65527 CSY65527 DCU65527 DMQ65527 DWM65527 EGI65527 EQE65527 FAA65527 FJW65527 FTS65527 GDO65527 GNK65527 GXG65527 HHC65527 HQY65527 IAU65527 IKQ65527 IUM65527 JEI65527 JOE65527 JYA65527 KHW65527 KRS65527 LBO65527 LLK65527 LVG65527 MFC65527 MOY65527 MYU65527 NIQ65527 NSM65527 OCI65527 OME65527 OWA65527 PFW65527 PPS65527 PZO65527 QJK65527 QTG65527 RDC65527 RMY65527 RWU65527 SGQ65527 SQM65527 TAI65527 TKE65527 TUA65527 UDW65527 UNS65527 UXO65527 VHK65527 VRG65527 WBC65527 WKY65527 WUU65527 II131063 SE131063 ACA131063 ALW131063 AVS131063 BFO131063 BPK131063 BZG131063 CJC131063 CSY131063 DCU131063 DMQ131063 DWM131063 EGI131063 EQE131063 FAA131063 FJW131063 FTS131063 GDO131063 GNK131063 GXG131063 HHC131063 HQY131063 IAU131063 IKQ131063 IUM131063 JEI131063 JOE131063 JYA131063 KHW131063 KRS131063 LBO131063 LLK131063 LVG131063 MFC131063 MOY131063 MYU131063 NIQ131063 NSM131063 OCI131063 OME131063 OWA131063 PFW131063 PPS131063 PZO131063 QJK131063 QTG131063 RDC131063 RMY131063 RWU131063 SGQ131063 SQM131063 TAI131063 TKE131063 TUA131063 UDW131063 UNS131063 UXO131063 VHK131063 VRG131063 WBC131063 WKY131063 WUU131063 II196599 SE196599 ACA196599 ALW196599 AVS196599 BFO196599 BPK196599 BZG196599 CJC196599 CSY196599 DCU196599 DMQ196599 DWM196599 EGI196599 EQE196599 FAA196599 FJW196599 FTS196599 GDO196599 GNK196599 GXG196599 HHC196599 HQY196599 IAU196599 IKQ196599 IUM196599 JEI196599 JOE196599 JYA196599 KHW196599 KRS196599 LBO196599 LLK196599 LVG196599 MFC196599 MOY196599 MYU196599 NIQ196599 NSM196599 OCI196599 OME196599 OWA196599 PFW196599 PPS196599 PZO196599 QJK196599 QTG196599 RDC196599 RMY196599 RWU196599 SGQ196599 SQM196599 TAI196599 TKE196599 TUA196599 UDW196599 UNS196599 UXO196599 VHK196599 VRG196599 WBC196599 WKY196599 WUU196599 II262135 SE262135 ACA262135 ALW262135 AVS262135 BFO262135 BPK262135 BZG262135 CJC262135 CSY262135 DCU262135 DMQ262135 DWM262135 EGI262135 EQE262135 FAA262135 FJW262135 FTS262135 GDO262135 GNK262135 GXG262135 HHC262135 HQY262135 IAU262135 IKQ262135 IUM262135 JEI262135 JOE262135 JYA262135 KHW262135 KRS262135 LBO262135 LLK262135 LVG262135 MFC262135 MOY262135 MYU262135 NIQ262135 NSM262135 OCI262135 OME262135 OWA262135 PFW262135 PPS262135 PZO262135 QJK262135 QTG262135 RDC262135 RMY262135 RWU262135 SGQ262135 SQM262135 TAI262135 TKE262135 TUA262135 UDW262135 UNS262135 UXO262135 VHK262135 VRG262135 WBC262135 WKY262135 WUU262135 II327671 SE327671 ACA327671 ALW327671 AVS327671 BFO327671 BPK327671 BZG327671 CJC327671 CSY327671 DCU327671 DMQ327671 DWM327671 EGI327671 EQE327671 FAA327671 FJW327671 FTS327671 GDO327671 GNK327671 GXG327671 HHC327671 HQY327671 IAU327671 IKQ327671 IUM327671 JEI327671 JOE327671 JYA327671 KHW327671 KRS327671 LBO327671 LLK327671 LVG327671 MFC327671 MOY327671 MYU327671 NIQ327671 NSM327671 OCI327671 OME327671 OWA327671 PFW327671 PPS327671 PZO327671 QJK327671 QTG327671 RDC327671 RMY327671 RWU327671 SGQ327671 SQM327671 TAI327671 TKE327671 TUA327671 UDW327671 UNS327671 UXO327671 VHK327671 VRG327671 WBC327671 WKY327671 WUU327671 II393207 SE393207 ACA393207 ALW393207 AVS393207 BFO393207 BPK393207 BZG393207 CJC393207 CSY393207 DCU393207 DMQ393207 DWM393207 EGI393207 EQE393207 FAA393207 FJW393207 FTS393207 GDO393207 GNK393207 GXG393207 HHC393207 HQY393207 IAU393207 IKQ393207 IUM393207 JEI393207 JOE393207 JYA393207 KHW393207 KRS393207 LBO393207 LLK393207 LVG393207 MFC393207 MOY393207 MYU393207 NIQ393207 NSM393207 OCI393207 OME393207 OWA393207 PFW393207 PPS393207 PZO393207 QJK393207 QTG393207 RDC393207 RMY393207 RWU393207 SGQ393207 SQM393207 TAI393207 TKE393207 TUA393207 UDW393207 UNS393207 UXO393207 VHK393207 VRG393207 WBC393207 WKY393207 WUU393207 II458743 SE458743 ACA458743 ALW458743 AVS458743 BFO458743 BPK458743 BZG458743 CJC458743 CSY458743 DCU458743 DMQ458743 DWM458743 EGI458743 EQE458743 FAA458743 FJW458743 FTS458743 GDO458743 GNK458743 GXG458743 HHC458743 HQY458743 IAU458743 IKQ458743 IUM458743 JEI458743 JOE458743 JYA458743 KHW458743 KRS458743 LBO458743 LLK458743 LVG458743 MFC458743 MOY458743 MYU458743 NIQ458743 NSM458743 OCI458743 OME458743 OWA458743 PFW458743 PPS458743 PZO458743 QJK458743 QTG458743 RDC458743 RMY458743 RWU458743 SGQ458743 SQM458743 TAI458743 TKE458743 TUA458743 UDW458743 UNS458743 UXO458743 VHK458743 VRG458743 WBC458743 WKY458743 WUU458743 II524279 SE524279 ACA524279 ALW524279 AVS524279 BFO524279 BPK524279 BZG524279 CJC524279 CSY524279 DCU524279 DMQ524279 DWM524279 EGI524279 EQE524279 FAA524279 FJW524279 FTS524279 GDO524279 GNK524279 GXG524279 HHC524279 HQY524279 IAU524279 IKQ524279 IUM524279 JEI524279 JOE524279 JYA524279 KHW524279 KRS524279 LBO524279 LLK524279 LVG524279 MFC524279 MOY524279 MYU524279 NIQ524279 NSM524279 OCI524279 OME524279 OWA524279 PFW524279 PPS524279 PZO524279 QJK524279 QTG524279 RDC524279 RMY524279 RWU524279 SGQ524279 SQM524279 TAI524279 TKE524279 TUA524279 UDW524279 UNS524279 UXO524279 VHK524279 VRG524279 WBC524279 WKY524279 WUU524279 II589815 SE589815 ACA589815 ALW589815 AVS589815 BFO589815 BPK589815 BZG589815 CJC589815 CSY589815 DCU589815 DMQ589815 DWM589815 EGI589815 EQE589815 FAA589815 FJW589815 FTS589815 GDO589815 GNK589815 GXG589815 HHC589815 HQY589815 IAU589815 IKQ589815 IUM589815 JEI589815 JOE589815 JYA589815 KHW589815 KRS589815 LBO589815 LLK589815 LVG589815 MFC589815 MOY589815 MYU589815 NIQ589815 NSM589815 OCI589815 OME589815 OWA589815 PFW589815 PPS589815 PZO589815 QJK589815 QTG589815 RDC589815 RMY589815 RWU589815 SGQ589815 SQM589815 TAI589815 TKE589815 TUA589815 UDW589815 UNS589815 UXO589815 VHK589815 VRG589815 WBC589815 WKY589815 WUU589815 II655351 SE655351 ACA655351 ALW655351 AVS655351 BFO655351 BPK655351 BZG655351 CJC655351 CSY655351 DCU655351 DMQ655351 DWM655351 EGI655351 EQE655351 FAA655351 FJW655351 FTS655351 GDO655351 GNK655351 GXG655351 HHC655351 HQY655351 IAU655351 IKQ655351 IUM655351 JEI655351 JOE655351 JYA655351 KHW655351 KRS655351 LBO655351 LLK655351 LVG655351 MFC655351 MOY655351 MYU655351 NIQ655351 NSM655351 OCI655351 OME655351 OWA655351 PFW655351 PPS655351 PZO655351 QJK655351 QTG655351 RDC655351 RMY655351 RWU655351 SGQ655351 SQM655351 TAI655351 TKE655351 TUA655351 UDW655351 UNS655351 UXO655351 VHK655351 VRG655351 WBC655351 WKY655351 WUU655351 II720887 SE720887 ACA720887 ALW720887 AVS720887 BFO720887 BPK720887 BZG720887 CJC720887 CSY720887 DCU720887 DMQ720887 DWM720887 EGI720887 EQE720887 FAA720887 FJW720887 FTS720887 GDO720887 GNK720887 GXG720887 HHC720887 HQY720887 IAU720887 IKQ720887 IUM720887 JEI720887 JOE720887 JYA720887 KHW720887 KRS720887 LBO720887 LLK720887 LVG720887 MFC720887 MOY720887 MYU720887 NIQ720887 NSM720887 OCI720887 OME720887 OWA720887 PFW720887 PPS720887 PZO720887 QJK720887 QTG720887 RDC720887 RMY720887 RWU720887 SGQ720887 SQM720887 TAI720887 TKE720887 TUA720887 UDW720887 UNS720887 UXO720887 VHK720887 VRG720887 WBC720887 WKY720887 WUU720887 II786423 SE786423 ACA786423 ALW786423 AVS786423 BFO786423 BPK786423 BZG786423 CJC786423 CSY786423 DCU786423 DMQ786423 DWM786423 EGI786423 EQE786423 FAA786423 FJW786423 FTS786423 GDO786423 GNK786423 GXG786423 HHC786423 HQY786423 IAU786423 IKQ786423 IUM786423 JEI786423 JOE786423 JYA786423 KHW786423 KRS786423 LBO786423 LLK786423 LVG786423 MFC786423 MOY786423 MYU786423 NIQ786423 NSM786423 OCI786423 OME786423 OWA786423 PFW786423 PPS786423 PZO786423 QJK786423 QTG786423 RDC786423 RMY786423 RWU786423 SGQ786423 SQM786423 TAI786423 TKE786423 TUA786423 UDW786423 UNS786423 UXO786423 VHK786423 VRG786423 WBC786423 WKY786423 WUU786423 II851959 SE851959 ACA851959 ALW851959 AVS851959 BFO851959 BPK851959 BZG851959 CJC851959 CSY851959 DCU851959 DMQ851959 DWM851959 EGI851959 EQE851959 FAA851959 FJW851959 FTS851959 GDO851959 GNK851959 GXG851959 HHC851959 HQY851959 IAU851959 IKQ851959 IUM851959 JEI851959 JOE851959 JYA851959 KHW851959 KRS851959 LBO851959 LLK851959 LVG851959 MFC851959 MOY851959 MYU851959 NIQ851959 NSM851959 OCI851959 OME851959 OWA851959 PFW851959 PPS851959 PZO851959 QJK851959 QTG851959 RDC851959 RMY851959 RWU851959 SGQ851959 SQM851959 TAI851959 TKE851959 TUA851959 UDW851959 UNS851959 UXO851959 VHK851959 VRG851959 WBC851959 WKY851959 WUU851959 II917495 SE917495 ACA917495 ALW917495 AVS917495 BFO917495 BPK917495 BZG917495 CJC917495 CSY917495 DCU917495 DMQ917495 DWM917495 EGI917495 EQE917495 FAA917495 FJW917495 FTS917495 GDO917495 GNK917495 GXG917495 HHC917495 HQY917495 IAU917495 IKQ917495 IUM917495 JEI917495 JOE917495 JYA917495 KHW917495 KRS917495 LBO917495 LLK917495 LVG917495 MFC917495 MOY917495 MYU917495 NIQ917495 NSM917495 OCI917495 OME917495 OWA917495 PFW917495 PPS917495 PZO917495 QJK917495 QTG917495 RDC917495 RMY917495 RWU917495 SGQ917495 SQM917495 TAI917495 TKE917495 TUA917495 UDW917495 UNS917495 UXO917495 VHK917495 VRG917495 WBC917495 WKY917495 WUU917495 II983031 SE983031 ACA983031 ALW983031 AVS983031 BFO983031 BPK983031 BZG983031 CJC983031 CSY983031 DCU983031 DMQ983031 DWM983031 EGI983031 EQE983031 FAA983031 FJW983031 FTS983031 GDO983031 GNK983031 GXG983031 HHC983031 HQY983031 IAU983031 IKQ983031 IUM983031 JEI983031 JOE983031 JYA983031 KHW983031 KRS983031 LBO983031 LLK983031 LVG983031 MFC983031 MOY983031 MYU983031 NIQ983031 NSM983031 OCI983031 OME983031 OWA983031 PFW983031 PPS983031 PZO983031 QJK983031 QTG983031 RDC983031 RMY983031 RWU983031 SGQ983031 SQM983031 TAI983031 TKE983031 TUA983031 UDW983031 UNS983031 UXO983031 VHK983031 VRG983031 WBC983031 WKY983031 WUU983031"/>
  </dataValidations>
  <pageMargins left="0.25" right="0.25" top="0.75" bottom="0.75" header="0.3" footer="0.3"/>
  <pageSetup paperSize="9" orientation="landscape" r:id="rId1"/>
  <headerFooter>
    <oddHeader>&amp;L&amp;"Arial,Italic"TII Publications
Design of Road Lighting for the National Road Network&amp;R&amp;"Arial,Italic"DN-LHT-03038
July 2018</oddHeader>
    <oddFooter>&amp;L&amp;"Arial,Regular"Lighting Evaluation Tool &amp; Justification for Lighting the Mainline
Appendix B1&amp;R&amp;"Arial,Regular"&amp;A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Sheet</vt:lpstr>
      <vt:lpstr>Index</vt:lpstr>
      <vt:lpstr>Notes</vt:lpstr>
      <vt:lpstr>Overview</vt:lpstr>
      <vt:lpstr>Balance Scorecard</vt:lpstr>
      <vt:lpstr>Summary of Results</vt:lpstr>
      <vt:lpstr>Scheme Entry - Baseline</vt:lpstr>
      <vt:lpstr>Capital Expenditure</vt:lpstr>
      <vt:lpstr>Operational Expenditure</vt:lpstr>
      <vt:lpstr>Sensitivity 1</vt:lpstr>
      <vt:lpstr>Sensitivity 2</vt:lpstr>
      <vt:lpstr>Results</vt:lpstr>
      <vt:lpstr>Results Historical Accident</vt:lpstr>
      <vt:lpstr>Lighting Data</vt:lpstr>
      <vt:lpstr>Energy Calculations</vt:lpstr>
      <vt:lpstr>Energy Sensitivy 1</vt:lpstr>
      <vt:lpstr>Energy Sensitivy 2</vt:lpstr>
      <vt:lpstr>Burn Profiles</vt:lpstr>
      <vt:lpstr>Burn Pro Sen 1</vt:lpstr>
      <vt:lpstr>Burn Pro Sen 2</vt:lpstr>
      <vt:lpstr>NTpM Adjustment by Region</vt:lpstr>
      <vt:lpstr>NtpM Capitalisation</vt:lpstr>
      <vt:lpstr>Reference Tables</vt:lpstr>
      <vt:lpstr>National Accident Rate</vt:lpstr>
      <vt:lpstr>Average Accidents Costs</vt:lpstr>
      <vt:lpstr>PAG 6.11 Tables Extract</vt:lpstr>
      <vt:lpstr>'Average Accidents Costs'!Print_Area</vt:lpstr>
      <vt:lpstr>'Balance Scorecard'!Print_Area</vt:lpstr>
      <vt:lpstr>'NTpM Adjustment by Region'!Print_Area</vt:lpstr>
      <vt:lpstr>'NtpM Capitalisation'!Print_Area</vt:lpstr>
      <vt:lpstr>'PAG 6.11 Tables Extract'!Print_Area</vt:lpstr>
      <vt:lpstr>'Summary of Results'!Print_Area</vt:lpstr>
    </vt:vector>
  </TitlesOfParts>
  <Company>Arup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Neary</dc:creator>
  <cp:lastModifiedBy>Peter Neary</cp:lastModifiedBy>
  <cp:lastPrinted>2018-07-30T09:43:36Z</cp:lastPrinted>
  <dcterms:created xsi:type="dcterms:W3CDTF">2017-12-01T14:26:04Z</dcterms:created>
  <dcterms:modified xsi:type="dcterms:W3CDTF">2018-07-30T10:07:34Z</dcterms:modified>
</cp:coreProperties>
</file>